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Utilisateurs\Arnaud Le Mouee\My Documents\CONTROLE D'ENCEPAGEMENT\"/>
    </mc:Choice>
  </mc:AlternateContent>
  <xr:revisionPtr revIDLastSave="0" documentId="13_ncr:1_{353F2B6A-8CC4-44B7-A575-2510C9FCB191}" xr6:coauthVersionLast="47" xr6:coauthVersionMax="47" xr10:uidLastSave="{00000000-0000-0000-0000-000000000000}"/>
  <bookViews>
    <workbookView xWindow="-120" yWindow="-120" windowWidth="29040" windowHeight="15720" xr2:uid="{00000000-000D-0000-FFFF-FFFF00000000}"/>
  </bookViews>
  <sheets>
    <sheet name="Outil contrôle encépagement" sheetId="21" r:id="rId1"/>
    <sheet name="CR Rouge" sheetId="1" r:id="rId2"/>
    <sheet name="CR Rosé" sheetId="2" r:id="rId3"/>
    <sheet name="CR Blanc" sheetId="3" r:id="rId4"/>
    <sheet name="CR Villages" sheetId="4" r:id="rId5"/>
    <sheet name="CR Villages Les Aspres" sheetId="5" r:id="rId6"/>
    <sheet name="CRV LATOUR DE FRANCE" sheetId="6" r:id="rId7"/>
    <sheet name="CRV CARAMANY" sheetId="7" r:id="rId8"/>
    <sheet name="CRV LESQUERDE" sheetId="8" r:id="rId9"/>
    <sheet name="CRV TAUTAVEL" sheetId="9" r:id="rId10"/>
    <sheet name="MAURY SEC" sheetId="10" r:id="rId11"/>
    <sheet name="MAURY Grenat ou Tuilé" sheetId="19" r:id="rId12"/>
    <sheet name="MAURY Ambré ou Blanc" sheetId="20" r:id="rId13"/>
    <sheet name="Muscat de Riv." sheetId="16" r:id="rId14"/>
    <sheet name="Rivesaltes Ambré, Rosé ou Tuilé" sheetId="17" r:id="rId15"/>
    <sheet name="Rivesaltes Grenat" sheetId="18"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0" l="1"/>
  <c r="L11" i="20"/>
  <c r="L12" i="20" s="1"/>
  <c r="B20" i="19"/>
  <c r="L12" i="19"/>
  <c r="L13" i="19" s="1"/>
  <c r="B21" i="10"/>
  <c r="L12" i="10"/>
  <c r="L13" i="10" s="1"/>
  <c r="B25" i="9"/>
  <c r="L12" i="9"/>
  <c r="L13" i="9" s="1"/>
  <c r="B23" i="8"/>
  <c r="D9" i="8"/>
  <c r="B23" i="7"/>
  <c r="L12" i="7"/>
  <c r="L13" i="7" s="1"/>
  <c r="B25" i="6"/>
  <c r="L13" i="6"/>
  <c r="L14" i="6" s="1"/>
  <c r="B26" i="5"/>
  <c r="B24" i="4"/>
  <c r="B27" i="3"/>
  <c r="B25" i="2"/>
  <c r="B24" i="1"/>
  <c r="L14" i="5"/>
  <c r="L15" i="5" s="1"/>
  <c r="D7" i="8"/>
  <c r="L12" i="8" s="1"/>
  <c r="L13" i="8" s="1"/>
  <c r="L11" i="2" l="1"/>
  <c r="L12" i="2" s="1"/>
  <c r="L12" i="4"/>
  <c r="L13" i="4" s="1"/>
  <c r="L10" i="1"/>
  <c r="L11" i="1" s="1"/>
  <c r="M11" i="3"/>
  <c r="M12" i="3" s="1"/>
  <c r="G8" i="19"/>
  <c r="H8" i="9" l="1"/>
  <c r="H7" i="9"/>
  <c r="H6" i="9"/>
  <c r="H5" i="9"/>
  <c r="H8" i="5" l="1"/>
  <c r="H7" i="5"/>
  <c r="H6" i="5"/>
  <c r="I13" i="3" l="1"/>
  <c r="I12" i="3"/>
  <c r="I11" i="3"/>
  <c r="I10" i="3"/>
  <c r="I9" i="3"/>
  <c r="I8" i="3"/>
  <c r="I6" i="3"/>
  <c r="G13" i="3" l="1"/>
  <c r="H12" i="3"/>
  <c r="H8" i="3"/>
  <c r="H7" i="3"/>
  <c r="H6" i="3"/>
  <c r="H5" i="3"/>
  <c r="D12" i="20" l="1"/>
  <c r="D11" i="20"/>
  <c r="E10" i="20" s="1"/>
  <c r="F10" i="20" s="1"/>
  <c r="G10" i="20"/>
  <c r="G9" i="20"/>
  <c r="H8" i="20"/>
  <c r="H7" i="20"/>
  <c r="H6" i="20"/>
  <c r="E7" i="20" l="1"/>
  <c r="F7" i="20" s="1"/>
  <c r="G7" i="20" s="1"/>
  <c r="E9" i="20"/>
  <c r="E5" i="20"/>
  <c r="E6" i="20"/>
  <c r="F6" i="20" s="1"/>
  <c r="G6" i="20" s="1"/>
  <c r="E8" i="20"/>
  <c r="F8" i="20" s="1"/>
  <c r="G8" i="20" s="1"/>
  <c r="H10" i="20"/>
  <c r="H5" i="20"/>
  <c r="D9" i="19"/>
  <c r="E5" i="19" s="1"/>
  <c r="D10" i="19"/>
  <c r="H7" i="19"/>
  <c r="G7" i="19"/>
  <c r="H6" i="19"/>
  <c r="H5" i="19"/>
  <c r="D7" i="18"/>
  <c r="D6" i="18"/>
  <c r="D12" i="17"/>
  <c r="E9" i="17" s="1"/>
  <c r="G11" i="17"/>
  <c r="G10" i="17"/>
  <c r="D13" i="17"/>
  <c r="E16" i="17" s="1"/>
  <c r="I16" i="17" s="1"/>
  <c r="H8" i="17"/>
  <c r="H7" i="17"/>
  <c r="H6" i="17"/>
  <c r="H5" i="17"/>
  <c r="D8" i="16"/>
  <c r="E11" i="16" s="1"/>
  <c r="H11" i="16" s="1"/>
  <c r="H10" i="16" s="1"/>
  <c r="I5" i="16" s="1"/>
  <c r="D7" i="16"/>
  <c r="E6" i="16" l="1"/>
  <c r="F6" i="16" s="1"/>
  <c r="G6" i="16" s="1"/>
  <c r="F9" i="20"/>
  <c r="L15" i="20"/>
  <c r="F5" i="20"/>
  <c r="G5" i="20" s="1"/>
  <c r="G11" i="20" s="1"/>
  <c r="G28" i="20" s="1"/>
  <c r="E16" i="20" s="1"/>
  <c r="I16" i="20" s="1"/>
  <c r="L14" i="20"/>
  <c r="H9" i="20"/>
  <c r="H11" i="20" s="1"/>
  <c r="H27" i="20" s="1"/>
  <c r="E15" i="20" s="1"/>
  <c r="I15" i="20" s="1"/>
  <c r="E11" i="20"/>
  <c r="E22" i="19"/>
  <c r="E13" i="19" s="1"/>
  <c r="I13" i="19" s="1"/>
  <c r="L15" i="19"/>
  <c r="E6" i="19"/>
  <c r="E11" i="17"/>
  <c r="F11" i="17" s="1"/>
  <c r="H11" i="17" s="1"/>
  <c r="E6" i="17"/>
  <c r="F6" i="17" s="1"/>
  <c r="G6" i="17" s="1"/>
  <c r="E10" i="17"/>
  <c r="E5" i="17"/>
  <c r="L14" i="17" s="1"/>
  <c r="E7" i="17"/>
  <c r="F7" i="17" s="1"/>
  <c r="G7" i="17" s="1"/>
  <c r="E8" i="19"/>
  <c r="F5" i="19"/>
  <c r="G5" i="19" s="1"/>
  <c r="E7" i="19"/>
  <c r="F7" i="19" s="1"/>
  <c r="E5" i="18"/>
  <c r="K11" i="18" s="1"/>
  <c r="F9" i="17"/>
  <c r="E8" i="17"/>
  <c r="F8" i="17" s="1"/>
  <c r="G8" i="17" s="1"/>
  <c r="F5" i="17"/>
  <c r="E5" i="16"/>
  <c r="F5" i="16" s="1"/>
  <c r="G5" i="16" s="1"/>
  <c r="H8" i="10"/>
  <c r="H7" i="10"/>
  <c r="H6" i="10"/>
  <c r="H5" i="10"/>
  <c r="G9" i="10"/>
  <c r="G8" i="10"/>
  <c r="G7" i="10"/>
  <c r="G5" i="10"/>
  <c r="G9" i="9"/>
  <c r="G8" i="8"/>
  <c r="G8" i="7"/>
  <c r="G9" i="6"/>
  <c r="G10" i="1"/>
  <c r="G9" i="1"/>
  <c r="G12" i="2"/>
  <c r="G11" i="2"/>
  <c r="G9" i="2"/>
  <c r="G7" i="2"/>
  <c r="G5" i="2"/>
  <c r="G11" i="3"/>
  <c r="G10" i="3"/>
  <c r="G9" i="3"/>
  <c r="G7" i="3"/>
  <c r="G5" i="3"/>
  <c r="G9" i="4"/>
  <c r="G5" i="5"/>
  <c r="I14" i="20" l="1"/>
  <c r="J5" i="20" s="1"/>
  <c r="F10" i="17"/>
  <c r="H10" i="17" s="1"/>
  <c r="L15" i="17"/>
  <c r="F11" i="20"/>
  <c r="F12" i="20"/>
  <c r="F6" i="19"/>
  <c r="G6" i="19" s="1"/>
  <c r="G9" i="19" s="1"/>
  <c r="L16" i="19"/>
  <c r="F8" i="19"/>
  <c r="H8" i="19" s="1"/>
  <c r="H9" i="19" s="1"/>
  <c r="E23" i="19"/>
  <c r="E14" i="19" s="1"/>
  <c r="I14" i="19" s="1"/>
  <c r="I12" i="19" s="1"/>
  <c r="J5" i="19" s="1"/>
  <c r="E9" i="19"/>
  <c r="F5" i="18"/>
  <c r="G5" i="18" s="1"/>
  <c r="E6" i="18"/>
  <c r="E10" i="18" s="1"/>
  <c r="H10" i="18" s="1"/>
  <c r="H9" i="18" s="1"/>
  <c r="I5" i="18" s="1"/>
  <c r="F12" i="17"/>
  <c r="E12" i="17"/>
  <c r="H9" i="17"/>
  <c r="G9" i="17"/>
  <c r="G5" i="17"/>
  <c r="G7" i="16"/>
  <c r="G8" i="16"/>
  <c r="E7" i="16"/>
  <c r="F7" i="16"/>
  <c r="D14" i="3"/>
  <c r="E13" i="3" s="1"/>
  <c r="F13" i="3" s="1"/>
  <c r="H13" i="3" s="1"/>
  <c r="G10" i="19" l="1"/>
  <c r="H12" i="17"/>
  <c r="E17" i="17" s="1"/>
  <c r="I17" i="17" s="1"/>
  <c r="I15" i="17" s="1"/>
  <c r="J5" i="17" s="1"/>
  <c r="F9" i="19"/>
  <c r="G12" i="17"/>
  <c r="F7" i="18"/>
  <c r="F6" i="18"/>
  <c r="G6" i="18"/>
  <c r="D11" i="10"/>
  <c r="D10" i="10"/>
  <c r="E9" i="10" s="1"/>
  <c r="D11" i="9"/>
  <c r="D28" i="9" s="1"/>
  <c r="E14" i="9" s="1"/>
  <c r="I14" i="9" s="1"/>
  <c r="D10" i="9"/>
  <c r="E9" i="9" s="1"/>
  <c r="D10" i="8"/>
  <c r="D28" i="8" s="1"/>
  <c r="E13" i="8" s="1"/>
  <c r="I13" i="8" s="1"/>
  <c r="E7" i="8"/>
  <c r="H7" i="8"/>
  <c r="H6" i="8"/>
  <c r="H5" i="8"/>
  <c r="D10" i="7"/>
  <c r="D27" i="7" s="1"/>
  <c r="E13" i="7" s="1"/>
  <c r="I13" i="7" s="1"/>
  <c r="D9" i="7"/>
  <c r="E8" i="7" s="1"/>
  <c r="L16" i="7" s="1"/>
  <c r="H7" i="7"/>
  <c r="H6" i="7"/>
  <c r="H5" i="7"/>
  <c r="D11" i="6"/>
  <c r="D28" i="6" s="1"/>
  <c r="E15" i="6" s="1"/>
  <c r="I15" i="6" s="1"/>
  <c r="D10" i="6"/>
  <c r="E8" i="6" s="1"/>
  <c r="F8" i="6" s="1"/>
  <c r="G8" i="6" s="1"/>
  <c r="H8" i="6"/>
  <c r="H7" i="6"/>
  <c r="H6" i="6"/>
  <c r="H5" i="6"/>
  <c r="H9" i="9" l="1"/>
  <c r="H10" i="9" s="1"/>
  <c r="H30" i="9" s="1"/>
  <c r="E16" i="9" s="1"/>
  <c r="I16" i="9" s="1"/>
  <c r="L16" i="9"/>
  <c r="E6" i="7"/>
  <c r="F6" i="7" s="1"/>
  <c r="G6" i="7" s="1"/>
  <c r="E7" i="6"/>
  <c r="E33" i="6" s="1"/>
  <c r="E20" i="6" s="1"/>
  <c r="I20" i="6" s="1"/>
  <c r="E5" i="6"/>
  <c r="E6" i="8"/>
  <c r="F6" i="8" s="1"/>
  <c r="G6" i="8" s="1"/>
  <c r="E8" i="8"/>
  <c r="E5" i="8"/>
  <c r="H8" i="7"/>
  <c r="H9" i="7" s="1"/>
  <c r="H29" i="7" s="1"/>
  <c r="E15" i="7" s="1"/>
  <c r="I15" i="7" s="1"/>
  <c r="F8" i="7"/>
  <c r="E6" i="6"/>
  <c r="F9" i="10"/>
  <c r="H9" i="10" s="1"/>
  <c r="H10" i="10" s="1"/>
  <c r="E29" i="10"/>
  <c r="E15" i="10" s="1"/>
  <c r="I15" i="10" s="1"/>
  <c r="E9" i="6"/>
  <c r="L18" i="6" s="1"/>
  <c r="E5" i="7"/>
  <c r="E7" i="7"/>
  <c r="E33" i="8"/>
  <c r="E18" i="8" s="1"/>
  <c r="I18" i="8" s="1"/>
  <c r="F7" i="8"/>
  <c r="G7" i="8" s="1"/>
  <c r="E6" i="9"/>
  <c r="E5" i="9"/>
  <c r="E8" i="9"/>
  <c r="E7" i="9"/>
  <c r="F9" i="9"/>
  <c r="E5" i="10"/>
  <c r="E6" i="10"/>
  <c r="E7" i="10"/>
  <c r="F7" i="10" s="1"/>
  <c r="E8" i="10"/>
  <c r="L15" i="7" l="1"/>
  <c r="F5" i="10"/>
  <c r="L16" i="10"/>
  <c r="E28" i="10"/>
  <c r="E14" i="10" s="1"/>
  <c r="I14" i="10" s="1"/>
  <c r="L15" i="10"/>
  <c r="L15" i="9"/>
  <c r="F8" i="9"/>
  <c r="G8" i="9" s="1"/>
  <c r="E32" i="9"/>
  <c r="E18" i="9" s="1"/>
  <c r="I18" i="9" s="1"/>
  <c r="E33" i="9"/>
  <c r="E19" i="9" s="1"/>
  <c r="I19" i="9" s="1"/>
  <c r="L15" i="8"/>
  <c r="H8" i="8"/>
  <c r="H9" i="8" s="1"/>
  <c r="H30" i="8" s="1"/>
  <c r="E15" i="8" s="1"/>
  <c r="I15" i="8" s="1"/>
  <c r="L16" i="8"/>
  <c r="E32" i="8"/>
  <c r="E17" i="8" s="1"/>
  <c r="I17" i="8" s="1"/>
  <c r="E9" i="8"/>
  <c r="L17" i="6"/>
  <c r="E32" i="6"/>
  <c r="E19" i="6" s="1"/>
  <c r="I19" i="6" s="1"/>
  <c r="F6" i="6"/>
  <c r="G6" i="6" s="1"/>
  <c r="F7" i="6"/>
  <c r="G7" i="6" s="1"/>
  <c r="F5" i="6"/>
  <c r="G5" i="6" s="1"/>
  <c r="E10" i="6"/>
  <c r="F8" i="8"/>
  <c r="F5" i="8"/>
  <c r="G5" i="8" s="1"/>
  <c r="G9" i="8" s="1"/>
  <c r="G29" i="8" s="1"/>
  <c r="E14" i="8" s="1"/>
  <c r="I14" i="8" s="1"/>
  <c r="E32" i="7"/>
  <c r="E18" i="7" s="1"/>
  <c r="I18" i="7" s="1"/>
  <c r="F7" i="7"/>
  <c r="G7" i="7" s="1"/>
  <c r="E31" i="7"/>
  <c r="E17" i="7" s="1"/>
  <c r="I17" i="7" s="1"/>
  <c r="F5" i="7"/>
  <c r="E9" i="7"/>
  <c r="F9" i="6"/>
  <c r="H9" i="6"/>
  <c r="H10" i="6" s="1"/>
  <c r="H30" i="6" s="1"/>
  <c r="E17" i="6" s="1"/>
  <c r="I17" i="6" s="1"/>
  <c r="F6" i="9"/>
  <c r="G6" i="9" s="1"/>
  <c r="E34" i="9"/>
  <c r="E20" i="9" s="1"/>
  <c r="I20" i="9" s="1"/>
  <c r="F6" i="10"/>
  <c r="G6" i="10" s="1"/>
  <c r="G10" i="10" s="1"/>
  <c r="E10" i="10"/>
  <c r="F8" i="10"/>
  <c r="F7" i="9"/>
  <c r="G7" i="9" s="1"/>
  <c r="E10" i="9"/>
  <c r="F5" i="9"/>
  <c r="I13" i="10" l="1"/>
  <c r="J5" i="10" s="1"/>
  <c r="G10" i="6"/>
  <c r="G29" i="6" s="1"/>
  <c r="E16" i="6" s="1"/>
  <c r="I16" i="6" s="1"/>
  <c r="F11" i="6"/>
  <c r="F31" i="6" s="1"/>
  <c r="E18" i="6" s="1"/>
  <c r="I18" i="6" s="1"/>
  <c r="F9" i="8"/>
  <c r="F10" i="8"/>
  <c r="F31" i="8" s="1"/>
  <c r="E16" i="8" s="1"/>
  <c r="I16" i="8" s="1"/>
  <c r="I12" i="8" s="1"/>
  <c r="J5" i="8" s="1"/>
  <c r="F10" i="6"/>
  <c r="F10" i="7"/>
  <c r="F30" i="7" s="1"/>
  <c r="E16" i="7" s="1"/>
  <c r="I16" i="7" s="1"/>
  <c r="F9" i="7"/>
  <c r="G5" i="7"/>
  <c r="G9" i="7" s="1"/>
  <c r="G28" i="7" s="1"/>
  <c r="E14" i="7" s="1"/>
  <c r="I14" i="7" s="1"/>
  <c r="G11" i="10"/>
  <c r="F10" i="10"/>
  <c r="F11" i="9"/>
  <c r="F31" i="9" s="1"/>
  <c r="E17" i="9" s="1"/>
  <c r="F10" i="9"/>
  <c r="G5" i="9"/>
  <c r="G10" i="9" s="1"/>
  <c r="G29" i="9" s="1"/>
  <c r="E15" i="9" s="1"/>
  <c r="I15" i="9" s="1"/>
  <c r="D10" i="5"/>
  <c r="D27" i="5" s="1"/>
  <c r="E15" i="5" s="1"/>
  <c r="I15" i="5" s="1"/>
  <c r="D9" i="5"/>
  <c r="E5" i="5" s="1"/>
  <c r="L18" i="5" s="1"/>
  <c r="I17" i="9" l="1"/>
  <c r="I13" i="9" s="1"/>
  <c r="J5" i="9" s="1"/>
  <c r="I12" i="7"/>
  <c r="J5" i="7" s="1"/>
  <c r="I14" i="6"/>
  <c r="J5" i="6" s="1"/>
  <c r="H5" i="5"/>
  <c r="H9" i="5" s="1"/>
  <c r="E29" i="5"/>
  <c r="E17" i="5" s="1"/>
  <c r="I17" i="5" s="1"/>
  <c r="E7" i="5"/>
  <c r="F5" i="5"/>
  <c r="E6" i="5"/>
  <c r="E8" i="5"/>
  <c r="E33" i="5" s="1"/>
  <c r="E21" i="5" s="1"/>
  <c r="I21" i="5" s="1"/>
  <c r="E31" i="5" l="1"/>
  <c r="E19" i="5" s="1"/>
  <c r="I19" i="5" s="1"/>
  <c r="L17" i="5"/>
  <c r="F7" i="5"/>
  <c r="G7" i="5" s="1"/>
  <c r="E32" i="5"/>
  <c r="E20" i="5" s="1"/>
  <c r="I20" i="5" s="1"/>
  <c r="E30" i="5"/>
  <c r="E18" i="5" s="1"/>
  <c r="I18" i="5" s="1"/>
  <c r="F6" i="5"/>
  <c r="G6" i="5" s="1"/>
  <c r="F8" i="5"/>
  <c r="G8" i="5" s="1"/>
  <c r="E9" i="5"/>
  <c r="F9" i="5" l="1"/>
  <c r="G10" i="5"/>
  <c r="G11" i="5"/>
  <c r="G9" i="5"/>
  <c r="G12" i="5" l="1"/>
  <c r="G28" i="5" s="1"/>
  <c r="E16" i="5" s="1"/>
  <c r="I16" i="5" s="1"/>
  <c r="I14" i="5" s="1"/>
  <c r="J5" i="5" s="1"/>
  <c r="D11" i="4" l="1"/>
  <c r="D26" i="4" s="1"/>
  <c r="E14" i="4" s="1"/>
  <c r="I14" i="4" s="1"/>
  <c r="D10" i="4"/>
  <c r="E9" i="4" s="1"/>
  <c r="L17" i="4" s="1"/>
  <c r="H8" i="4"/>
  <c r="H7" i="4"/>
  <c r="H6" i="4"/>
  <c r="H5" i="4"/>
  <c r="E8" i="4" l="1"/>
  <c r="F8" i="4" s="1"/>
  <c r="G8" i="4" s="1"/>
  <c r="E6" i="4"/>
  <c r="F6" i="4" s="1"/>
  <c r="G6" i="4" s="1"/>
  <c r="H9" i="4"/>
  <c r="H10" i="4" s="1"/>
  <c r="H28" i="4" s="1"/>
  <c r="E16" i="4" s="1"/>
  <c r="I16" i="4" s="1"/>
  <c r="F9" i="4"/>
  <c r="E5" i="4"/>
  <c r="E7" i="4"/>
  <c r="E31" i="4" s="1"/>
  <c r="E19" i="4" s="1"/>
  <c r="I19" i="4" s="1"/>
  <c r="D15" i="3"/>
  <c r="D30" i="3" s="1"/>
  <c r="E18" i="3" s="1"/>
  <c r="J18" i="3" s="1"/>
  <c r="E10" i="3"/>
  <c r="F10" i="3" s="1"/>
  <c r="H10" i="3" s="1"/>
  <c r="E9" i="3"/>
  <c r="E5" i="3"/>
  <c r="E30" i="4" l="1"/>
  <c r="E18" i="4" s="1"/>
  <c r="I18" i="4" s="1"/>
  <c r="L16" i="4"/>
  <c r="F5" i="4"/>
  <c r="E10" i="4"/>
  <c r="F7" i="4"/>
  <c r="G7" i="4" s="1"/>
  <c r="F9" i="3"/>
  <c r="H9" i="3" s="1"/>
  <c r="F5" i="3"/>
  <c r="I5" i="3" s="1"/>
  <c r="E8" i="3"/>
  <c r="F8" i="3" s="1"/>
  <c r="G8" i="3" s="1"/>
  <c r="E12" i="3"/>
  <c r="F12" i="3" s="1"/>
  <c r="G12" i="3" s="1"/>
  <c r="E7" i="3"/>
  <c r="M17" i="3" s="1"/>
  <c r="E11" i="3"/>
  <c r="M18" i="3" s="1"/>
  <c r="E6" i="3"/>
  <c r="D14" i="2"/>
  <c r="D26" i="2" s="1"/>
  <c r="E17" i="2" s="1"/>
  <c r="I17" i="2" s="1"/>
  <c r="D13" i="2"/>
  <c r="E12" i="2" s="1"/>
  <c r="H8" i="2"/>
  <c r="H6" i="2"/>
  <c r="D12" i="1"/>
  <c r="D26" i="1" s="1"/>
  <c r="E14" i="1" s="1"/>
  <c r="I14" i="1" s="1"/>
  <c r="H8" i="1"/>
  <c r="H7" i="1"/>
  <c r="H6" i="1"/>
  <c r="H5" i="1"/>
  <c r="F6" i="3" l="1"/>
  <c r="G6" i="3" s="1"/>
  <c r="M16" i="3"/>
  <c r="G14" i="3"/>
  <c r="G31" i="3" s="1"/>
  <c r="E19" i="3" s="1"/>
  <c r="J19" i="3" s="1"/>
  <c r="G5" i="4"/>
  <c r="G10" i="4" s="1"/>
  <c r="G27" i="4" s="1"/>
  <c r="E15" i="4" s="1"/>
  <c r="I15" i="4" s="1"/>
  <c r="F11" i="4"/>
  <c r="F29" i="4" s="1"/>
  <c r="E17" i="4" s="1"/>
  <c r="I17" i="4" s="1"/>
  <c r="F10" i="4"/>
  <c r="E14" i="3"/>
  <c r="F7" i="3"/>
  <c r="I7" i="3" s="1"/>
  <c r="F11" i="3"/>
  <c r="H11" i="3" s="1"/>
  <c r="H14" i="3" s="1"/>
  <c r="H12" i="2"/>
  <c r="F12" i="2"/>
  <c r="E5" i="2"/>
  <c r="E7" i="2"/>
  <c r="F7" i="2" s="1"/>
  <c r="E11" i="2"/>
  <c r="E6" i="2"/>
  <c r="E9" i="2"/>
  <c r="E10" i="2"/>
  <c r="F10" i="2" s="1"/>
  <c r="G10" i="2" s="1"/>
  <c r="E8" i="2"/>
  <c r="F8" i="2" s="1"/>
  <c r="G8" i="2" s="1"/>
  <c r="D11" i="1"/>
  <c r="E10" i="1" s="1"/>
  <c r="F5" i="2" l="1"/>
  <c r="L16" i="2"/>
  <c r="F6" i="2"/>
  <c r="G6" i="2" s="1"/>
  <c r="L15" i="2"/>
  <c r="I13" i="4"/>
  <c r="J5" i="4" s="1"/>
  <c r="I14" i="3"/>
  <c r="I33" i="3" s="1"/>
  <c r="E21" i="3" s="1"/>
  <c r="J21" i="3" s="1"/>
  <c r="F14" i="3"/>
  <c r="H7" i="2"/>
  <c r="F15" i="3"/>
  <c r="F34" i="3" s="1"/>
  <c r="E22" i="3" s="1"/>
  <c r="J22" i="3" s="1"/>
  <c r="H5" i="2"/>
  <c r="H11" i="2"/>
  <c r="F11" i="2"/>
  <c r="H9" i="2"/>
  <c r="F9" i="2"/>
  <c r="H10" i="1"/>
  <c r="F10" i="1"/>
  <c r="H10" i="2"/>
  <c r="E13" i="2"/>
  <c r="E5" i="1"/>
  <c r="E7" i="1"/>
  <c r="E8" i="1"/>
  <c r="E6" i="1"/>
  <c r="E9" i="1"/>
  <c r="L14" i="1" s="1"/>
  <c r="L13" i="1" l="1"/>
  <c r="F7" i="1"/>
  <c r="G7" i="1" s="1"/>
  <c r="E31" i="1"/>
  <c r="E19" i="1" s="1"/>
  <c r="I19" i="1" s="1"/>
  <c r="F5" i="1"/>
  <c r="G5" i="1" s="1"/>
  <c r="E30" i="1"/>
  <c r="E18" i="1" s="1"/>
  <c r="I18" i="1" s="1"/>
  <c r="H32" i="3"/>
  <c r="E20" i="3" s="1"/>
  <c r="J20" i="3" s="1"/>
  <c r="J17" i="3" s="1"/>
  <c r="K5" i="3" s="1"/>
  <c r="H13" i="2"/>
  <c r="H28" i="2" s="1"/>
  <c r="E19" i="2" s="1"/>
  <c r="I19" i="2" s="1"/>
  <c r="F13" i="2"/>
  <c r="F14" i="2"/>
  <c r="F29" i="2" s="1"/>
  <c r="E20" i="2" s="1"/>
  <c r="I20" i="2" s="1"/>
  <c r="H9" i="1"/>
  <c r="F9" i="1"/>
  <c r="F6" i="1"/>
  <c r="F8" i="1"/>
  <c r="G8" i="1" s="1"/>
  <c r="G13" i="2"/>
  <c r="G27" i="2" s="1"/>
  <c r="E18" i="2" s="1"/>
  <c r="I18" i="2" s="1"/>
  <c r="E11" i="1"/>
  <c r="I16" i="2" l="1"/>
  <c r="J5" i="2" s="1"/>
  <c r="F12" i="1"/>
  <c r="F29" i="1" s="1"/>
  <c r="E17" i="1" s="1"/>
  <c r="I17" i="1" s="1"/>
  <c r="H11" i="1"/>
  <c r="H28" i="1" s="1"/>
  <c r="E16" i="1" s="1"/>
  <c r="I16" i="1" s="1"/>
  <c r="F11" i="1"/>
  <c r="G6" i="1"/>
  <c r="G11" i="1" s="1"/>
  <c r="G27" i="1" s="1"/>
  <c r="E15" i="1" s="1"/>
  <c r="I15" i="1" s="1"/>
  <c r="I13" i="1" l="1"/>
  <c r="J5" i="1" s="1"/>
</calcChain>
</file>

<file path=xl/sharedStrings.xml><?xml version="1.0" encoding="utf-8"?>
<sst xmlns="http://schemas.openxmlformats.org/spreadsheetml/2006/main" count="799" uniqueCount="172">
  <si>
    <t>Carignan N.</t>
  </si>
  <si>
    <t>Grenache N.</t>
  </si>
  <si>
    <t>Mourvèdre</t>
  </si>
  <si>
    <t>Syrah</t>
  </si>
  <si>
    <t>Cinsault</t>
  </si>
  <si>
    <t>Lledoner pelut</t>
  </si>
  <si>
    <t>Macabeu</t>
  </si>
  <si>
    <t>Nom cépage</t>
  </si>
  <si>
    <t>surface</t>
  </si>
  <si>
    <t>%</t>
  </si>
  <si>
    <t>TOTAL</t>
  </si>
  <si>
    <t>P</t>
  </si>
  <si>
    <t>A</t>
  </si>
  <si>
    <t>Cépages principaux</t>
  </si>
  <si>
    <t>Cépages accessoires</t>
  </si>
  <si>
    <r>
      <t xml:space="preserve">Cépage le plus important </t>
    </r>
    <r>
      <rPr>
        <u/>
        <sz val="11"/>
        <color theme="1"/>
        <rFont val="Calibri"/>
        <family val="2"/>
        <scheme val="minor"/>
      </rPr>
      <t>&lt;</t>
    </r>
    <r>
      <rPr>
        <sz val="11"/>
        <color theme="1"/>
        <rFont val="Calibri"/>
        <family val="2"/>
        <scheme val="minor"/>
      </rPr>
      <t xml:space="preserve"> 70%</t>
    </r>
  </si>
  <si>
    <t>2 cépages</t>
  </si>
  <si>
    <r>
      <t xml:space="preserve">Carignan </t>
    </r>
    <r>
      <rPr>
        <u/>
        <sz val="11"/>
        <color theme="1"/>
        <rFont val="Calibri"/>
        <family val="2"/>
        <scheme val="minor"/>
      </rPr>
      <t>&lt;</t>
    </r>
    <r>
      <rPr>
        <sz val="11"/>
        <color theme="1"/>
        <rFont val="Calibri"/>
        <family val="2"/>
        <scheme val="minor"/>
      </rPr>
      <t xml:space="preserve"> 50%</t>
    </r>
  </si>
  <si>
    <t>Carignan B.</t>
  </si>
  <si>
    <t>Grenache B.</t>
  </si>
  <si>
    <t>Viognier</t>
  </si>
  <si>
    <t>Tourbat B.</t>
  </si>
  <si>
    <t>C</t>
  </si>
  <si>
    <t>Marsanne</t>
  </si>
  <si>
    <t>Roussanne</t>
  </si>
  <si>
    <t>Vermentino</t>
  </si>
  <si>
    <r>
      <t xml:space="preserve">Cépage le plus important </t>
    </r>
    <r>
      <rPr>
        <u/>
        <sz val="11"/>
        <color theme="1"/>
        <rFont val="Calibri"/>
        <family val="2"/>
        <scheme val="minor"/>
      </rPr>
      <t>&lt;</t>
    </r>
    <r>
      <rPr>
        <sz val="11"/>
        <color theme="1"/>
        <rFont val="Calibri"/>
        <family val="2"/>
        <scheme val="minor"/>
      </rPr>
      <t xml:space="preserve"> 80%</t>
    </r>
  </si>
  <si>
    <r>
      <t xml:space="preserve">Carignan </t>
    </r>
    <r>
      <rPr>
        <u/>
        <sz val="11"/>
        <color theme="1"/>
        <rFont val="Calibri"/>
        <family val="2"/>
        <scheme val="minor"/>
      </rPr>
      <t>&lt;</t>
    </r>
    <r>
      <rPr>
        <sz val="11"/>
        <color theme="1"/>
        <rFont val="Calibri"/>
        <family val="2"/>
        <scheme val="minor"/>
      </rPr>
      <t xml:space="preserve"> 60%</t>
    </r>
  </si>
  <si>
    <r>
      <t>Mourvèdre + Syrah</t>
    </r>
    <r>
      <rPr>
        <u/>
        <sz val="11"/>
        <color theme="1"/>
        <rFont val="Calibri"/>
        <family val="2"/>
        <scheme val="minor"/>
      </rPr>
      <t xml:space="preserve"> &gt;</t>
    </r>
    <r>
      <rPr>
        <sz val="11"/>
        <color theme="1"/>
        <rFont val="Calibri"/>
        <family val="2"/>
        <scheme val="minor"/>
      </rPr>
      <t xml:space="preserve"> 30 %</t>
    </r>
  </si>
  <si>
    <t>3 cépages</t>
  </si>
  <si>
    <r>
      <t xml:space="preserve">Carignan </t>
    </r>
    <r>
      <rPr>
        <u/>
        <sz val="11"/>
        <color theme="1"/>
        <rFont val="Calibri"/>
        <family val="2"/>
        <scheme val="minor"/>
      </rPr>
      <t>&lt;</t>
    </r>
    <r>
      <rPr>
        <sz val="11"/>
        <color theme="1"/>
        <rFont val="Calibri"/>
        <family val="2"/>
        <scheme val="minor"/>
      </rPr>
      <t xml:space="preserve"> 25%</t>
    </r>
  </si>
  <si>
    <r>
      <t>Mourvèdre + Syrah</t>
    </r>
    <r>
      <rPr>
        <u/>
        <sz val="11"/>
        <color theme="1"/>
        <rFont val="Calibri"/>
        <family val="2"/>
        <scheme val="minor"/>
      </rPr>
      <t xml:space="preserve"> &gt;</t>
    </r>
    <r>
      <rPr>
        <sz val="11"/>
        <color theme="1"/>
        <rFont val="Calibri"/>
        <family val="2"/>
        <scheme val="minor"/>
      </rPr>
      <t xml:space="preserve"> 25 %</t>
    </r>
  </si>
  <si>
    <r>
      <t>Grenache N.</t>
    </r>
    <r>
      <rPr>
        <u/>
        <sz val="11"/>
        <color theme="1"/>
        <rFont val="Calibri"/>
        <family val="2"/>
        <scheme val="minor"/>
      </rPr>
      <t xml:space="preserve"> &lt;</t>
    </r>
    <r>
      <rPr>
        <sz val="11"/>
        <color theme="1"/>
        <rFont val="Calibri"/>
        <family val="2"/>
        <scheme val="minor"/>
      </rPr>
      <t xml:space="preserve"> 50%</t>
    </r>
  </si>
  <si>
    <r>
      <t>Mourvèdre</t>
    </r>
    <r>
      <rPr>
        <u/>
        <sz val="11"/>
        <color theme="1"/>
        <rFont val="Calibri"/>
        <family val="2"/>
        <scheme val="minor"/>
      </rPr>
      <t xml:space="preserve"> &lt;</t>
    </r>
    <r>
      <rPr>
        <sz val="11"/>
        <color theme="1"/>
        <rFont val="Calibri"/>
        <family val="2"/>
        <scheme val="minor"/>
      </rPr>
      <t xml:space="preserve"> 50%</t>
    </r>
  </si>
  <si>
    <r>
      <t xml:space="preserve">Syrah </t>
    </r>
    <r>
      <rPr>
        <u/>
        <sz val="11"/>
        <color theme="1"/>
        <rFont val="Calibri"/>
        <family val="2"/>
        <scheme val="minor"/>
      </rPr>
      <t>&lt;</t>
    </r>
    <r>
      <rPr>
        <sz val="11"/>
        <color theme="1"/>
        <rFont val="Calibri"/>
        <family val="2"/>
        <scheme val="minor"/>
      </rPr>
      <t xml:space="preserve"> 50%</t>
    </r>
  </si>
  <si>
    <r>
      <t>Syrah</t>
    </r>
    <r>
      <rPr>
        <u/>
        <sz val="11"/>
        <color theme="1"/>
        <rFont val="Calibri"/>
        <family val="2"/>
        <scheme val="minor"/>
      </rPr>
      <t xml:space="preserve"> &gt;</t>
    </r>
    <r>
      <rPr>
        <sz val="11"/>
        <color theme="1"/>
        <rFont val="Calibri"/>
        <family val="2"/>
        <scheme val="minor"/>
      </rPr>
      <t xml:space="preserve"> 40 %</t>
    </r>
  </si>
  <si>
    <r>
      <t>Syrah</t>
    </r>
    <r>
      <rPr>
        <u/>
        <sz val="11"/>
        <color theme="1"/>
        <rFont val="Calibri"/>
        <family val="2"/>
        <scheme val="minor"/>
      </rPr>
      <t xml:space="preserve"> &gt;</t>
    </r>
    <r>
      <rPr>
        <sz val="11"/>
        <color theme="1"/>
        <rFont val="Calibri"/>
        <family val="2"/>
        <scheme val="minor"/>
      </rPr>
      <t xml:space="preserve"> 30 %</t>
    </r>
  </si>
  <si>
    <r>
      <t>Mourvèdre et Syrah</t>
    </r>
    <r>
      <rPr>
        <u/>
        <sz val="11"/>
        <color theme="1"/>
        <rFont val="Calibri"/>
        <family val="2"/>
        <scheme val="minor"/>
      </rPr>
      <t xml:space="preserve"> &gt;</t>
    </r>
    <r>
      <rPr>
        <sz val="11"/>
        <color theme="1"/>
        <rFont val="Calibri"/>
        <family val="2"/>
        <scheme val="minor"/>
      </rPr>
      <t xml:space="preserve"> 30 %</t>
    </r>
  </si>
  <si>
    <r>
      <t xml:space="preserve">Grenache N. </t>
    </r>
    <r>
      <rPr>
        <u/>
        <sz val="11"/>
        <color theme="1"/>
        <rFont val="Calibri"/>
        <family val="2"/>
        <scheme val="minor"/>
      </rPr>
      <t>&gt;</t>
    </r>
    <r>
      <rPr>
        <sz val="11"/>
        <color theme="1"/>
        <rFont val="Calibri"/>
        <family val="2"/>
        <scheme val="minor"/>
      </rPr>
      <t xml:space="preserve"> 60% et </t>
    </r>
    <r>
      <rPr>
        <u/>
        <sz val="11"/>
        <color theme="1"/>
        <rFont val="Calibri"/>
        <family val="2"/>
        <scheme val="minor"/>
      </rPr>
      <t>&lt;</t>
    </r>
    <r>
      <rPr>
        <sz val="11"/>
        <color theme="1"/>
        <rFont val="Calibri"/>
        <family val="2"/>
        <scheme val="minor"/>
      </rPr>
      <t xml:space="preserve"> 80%</t>
    </r>
  </si>
  <si>
    <r>
      <t xml:space="preserve">Lledoner pelut </t>
    </r>
    <r>
      <rPr>
        <u/>
        <sz val="11"/>
        <color theme="1"/>
        <rFont val="Calibri"/>
        <family val="2"/>
        <scheme val="minor"/>
      </rPr>
      <t>&lt;</t>
    </r>
    <r>
      <rPr>
        <sz val="11"/>
        <color theme="1"/>
        <rFont val="Calibri"/>
        <family val="2"/>
        <scheme val="minor"/>
      </rPr>
      <t xml:space="preserve"> 10%</t>
    </r>
  </si>
  <si>
    <r>
      <t>Grenache Noir et Lledoner pelut</t>
    </r>
    <r>
      <rPr>
        <u/>
        <sz val="11"/>
        <color theme="1"/>
        <rFont val="Calibri"/>
        <family val="2"/>
        <scheme val="minor"/>
      </rPr>
      <t xml:space="preserve"> &gt;</t>
    </r>
    <r>
      <rPr>
        <sz val="11"/>
        <color theme="1"/>
        <rFont val="Calibri"/>
        <family val="2"/>
        <scheme val="minor"/>
      </rPr>
      <t xml:space="preserve"> 20%</t>
    </r>
  </si>
  <si>
    <t>% arrondi</t>
  </si>
  <si>
    <t>% Arrondi</t>
  </si>
  <si>
    <t>% ARRONDI</t>
  </si>
  <si>
    <t>Grenache G.</t>
  </si>
  <si>
    <t>Muscat d'Alexandrie</t>
  </si>
  <si>
    <t>Muscat Petit Grain</t>
  </si>
  <si>
    <t>Grenache N. = 100%</t>
  </si>
  <si>
    <r>
      <t xml:space="preserve">Grenache N. </t>
    </r>
    <r>
      <rPr>
        <u/>
        <sz val="11"/>
        <color theme="1"/>
        <rFont val="Calibri"/>
        <family val="2"/>
        <scheme val="minor"/>
      </rPr>
      <t>&gt;</t>
    </r>
    <r>
      <rPr>
        <sz val="11"/>
        <color theme="1"/>
        <rFont val="Calibri"/>
        <family val="2"/>
        <scheme val="minor"/>
      </rPr>
      <t xml:space="preserve"> 75%</t>
    </r>
  </si>
  <si>
    <r>
      <t xml:space="preserve">Macabeu </t>
    </r>
    <r>
      <rPr>
        <u/>
        <sz val="11"/>
        <color theme="1"/>
        <rFont val="Calibri"/>
        <family val="2"/>
        <scheme val="minor"/>
      </rPr>
      <t>&lt;</t>
    </r>
    <r>
      <rPr>
        <sz val="11"/>
        <color theme="1"/>
        <rFont val="Calibri"/>
        <family val="2"/>
        <scheme val="minor"/>
      </rPr>
      <t xml:space="preserve"> 10%</t>
    </r>
  </si>
  <si>
    <t>Cépages complémentaires</t>
  </si>
  <si>
    <t>Grenache Gris</t>
  </si>
  <si>
    <r>
      <t xml:space="preserve">Cépages  principaux (Carignan N, Grenache N, Mourvèdre, Syrah)  </t>
    </r>
    <r>
      <rPr>
        <u/>
        <sz val="11"/>
        <color theme="1"/>
        <rFont val="Calibri"/>
        <family val="2"/>
        <scheme val="minor"/>
      </rPr>
      <t>&gt;</t>
    </r>
    <r>
      <rPr>
        <sz val="11"/>
        <color theme="1"/>
        <rFont val="Calibri"/>
        <family val="2"/>
        <scheme val="minor"/>
      </rPr>
      <t xml:space="preserve"> 80%</t>
    </r>
  </si>
  <si>
    <r>
      <t xml:space="preserve">Mourvèdre + Syrah </t>
    </r>
    <r>
      <rPr>
        <u/>
        <sz val="11"/>
        <color theme="1"/>
        <rFont val="Calibri"/>
        <family val="2"/>
        <scheme val="minor"/>
      </rPr>
      <t>&gt;</t>
    </r>
    <r>
      <rPr>
        <sz val="11"/>
        <color theme="1"/>
        <rFont val="Calibri"/>
        <family val="2"/>
        <scheme val="minor"/>
      </rPr>
      <t xml:space="preserve"> 25 %</t>
    </r>
  </si>
  <si>
    <r>
      <t xml:space="preserve">Cépages  principaux (Grenache N, Syrah, Grenache gris) </t>
    </r>
    <r>
      <rPr>
        <u/>
        <sz val="11"/>
        <color theme="1"/>
        <rFont val="Calibri"/>
        <family val="2"/>
        <scheme val="minor"/>
      </rPr>
      <t>&gt;</t>
    </r>
    <r>
      <rPr>
        <sz val="11"/>
        <color theme="1"/>
        <rFont val="Calibri"/>
        <family val="2"/>
        <scheme val="minor"/>
      </rPr>
      <t xml:space="preserve"> 70%</t>
    </r>
  </si>
  <si>
    <t>Grenache gris</t>
  </si>
  <si>
    <r>
      <t xml:space="preserve">Cépages  principaux (Grenache B, Macabeu et Tourbat)  </t>
    </r>
    <r>
      <rPr>
        <u/>
        <sz val="11"/>
        <color theme="1"/>
        <rFont val="Calibri"/>
        <family val="2"/>
        <scheme val="minor"/>
      </rPr>
      <t>&gt;</t>
    </r>
    <r>
      <rPr>
        <sz val="11"/>
        <color theme="1"/>
        <rFont val="Calibri"/>
        <family val="2"/>
        <scheme val="minor"/>
      </rPr>
      <t xml:space="preserve"> 50%</t>
    </r>
  </si>
  <si>
    <r>
      <t xml:space="preserve">cépages accessoires (Carignan B, Viognier) </t>
    </r>
    <r>
      <rPr>
        <u/>
        <sz val="11"/>
        <color theme="1"/>
        <rFont val="Calibri"/>
        <family val="2"/>
        <scheme val="minor"/>
      </rPr>
      <t>&lt;</t>
    </r>
    <r>
      <rPr>
        <sz val="11"/>
        <color theme="1"/>
        <rFont val="Calibri"/>
        <family val="2"/>
        <scheme val="minor"/>
      </rPr>
      <t xml:space="preserve"> 10%</t>
    </r>
  </si>
  <si>
    <r>
      <t xml:space="preserve">Cépages  principaux (Carignan N, Grenache N, Mourvèdre N, Syrah) </t>
    </r>
    <r>
      <rPr>
        <u/>
        <sz val="11"/>
        <color theme="1"/>
        <rFont val="Calibri"/>
        <family val="2"/>
        <scheme val="minor"/>
      </rPr>
      <t>&gt;</t>
    </r>
    <r>
      <rPr>
        <sz val="11"/>
        <color theme="1"/>
        <rFont val="Calibri"/>
        <family val="2"/>
        <scheme val="minor"/>
      </rPr>
      <t xml:space="preserve"> 80%</t>
    </r>
  </si>
  <si>
    <r>
      <t xml:space="preserve">2 des cépages principaux (Grenache N, Mourvèdre, Syrah)  les plus importants </t>
    </r>
    <r>
      <rPr>
        <u/>
        <sz val="11"/>
        <color theme="1"/>
        <rFont val="Calibri"/>
        <family val="2"/>
        <scheme val="minor"/>
      </rPr>
      <t>&lt;</t>
    </r>
    <r>
      <rPr>
        <sz val="11"/>
        <color theme="1"/>
        <rFont val="Calibri"/>
        <family val="2"/>
        <scheme val="minor"/>
      </rPr>
      <t xml:space="preserve"> 90%</t>
    </r>
  </si>
  <si>
    <r>
      <t xml:space="preserve">Cépages  principaux (Carignan N, Grenache N, Syrah)  </t>
    </r>
    <r>
      <rPr>
        <u/>
        <sz val="11"/>
        <color theme="1"/>
        <rFont val="Calibri"/>
        <family val="2"/>
        <scheme val="minor"/>
      </rPr>
      <t>&gt;</t>
    </r>
    <r>
      <rPr>
        <sz val="11"/>
        <color theme="1"/>
        <rFont val="Calibri"/>
        <family val="2"/>
        <scheme val="minor"/>
      </rPr>
      <t xml:space="preserve"> 80%</t>
    </r>
  </si>
  <si>
    <r>
      <t xml:space="preserve">Cépages  principaux (Carignan N, Grenache N, Syrah) </t>
    </r>
    <r>
      <rPr>
        <u/>
        <sz val="11"/>
        <color theme="1"/>
        <rFont val="Calibri"/>
        <family val="2"/>
        <scheme val="minor"/>
      </rPr>
      <t>&gt;</t>
    </r>
    <r>
      <rPr>
        <sz val="11"/>
        <color theme="1"/>
        <rFont val="Calibri"/>
        <family val="2"/>
        <scheme val="minor"/>
      </rPr>
      <t xml:space="preserve"> 80%</t>
    </r>
  </si>
  <si>
    <r>
      <t xml:space="preserve">Cépages  principaux (Carignan N, Grenache N, Mourvèdre et Syrah) </t>
    </r>
    <r>
      <rPr>
        <u/>
        <sz val="11"/>
        <color theme="1"/>
        <rFont val="Calibri"/>
        <family val="2"/>
        <scheme val="minor"/>
      </rPr>
      <t>&gt;</t>
    </r>
    <r>
      <rPr>
        <sz val="11"/>
        <color theme="1"/>
        <rFont val="Calibri"/>
        <family val="2"/>
        <scheme val="minor"/>
      </rPr>
      <t xml:space="preserve"> 80%</t>
    </r>
  </si>
  <si>
    <r>
      <t xml:space="preserve">Cépages  accessoires (Muscat Petit Grain et Muscat d'Alexandrie) </t>
    </r>
    <r>
      <rPr>
        <u/>
        <sz val="11"/>
        <color theme="1"/>
        <rFont val="Calibri"/>
        <family val="2"/>
        <scheme val="minor"/>
      </rPr>
      <t xml:space="preserve"> &lt;</t>
    </r>
    <r>
      <rPr>
        <sz val="11"/>
        <color theme="1"/>
        <rFont val="Calibri"/>
        <family val="2"/>
        <scheme val="minor"/>
      </rPr>
      <t xml:space="preserve"> 20%</t>
    </r>
  </si>
  <si>
    <t>Cépages complémentaire</t>
  </si>
  <si>
    <r>
      <t xml:space="preserve">cépages accessoires (Cinsault, Lledoner pelut) </t>
    </r>
    <r>
      <rPr>
        <u/>
        <sz val="11"/>
        <color theme="1"/>
        <rFont val="Calibri"/>
        <family val="2"/>
        <scheme val="minor"/>
      </rPr>
      <t>&lt;</t>
    </r>
    <r>
      <rPr>
        <sz val="11"/>
        <color theme="1"/>
        <rFont val="Calibri"/>
        <family val="2"/>
        <scheme val="minor"/>
      </rPr>
      <t xml:space="preserve"> 20%</t>
    </r>
  </si>
  <si>
    <r>
      <t xml:space="preserve">cépages accessoires (Carignan N, Mourvèdre, Cinsault, Lledoner pelut, Macabeu) </t>
    </r>
    <r>
      <rPr>
        <u/>
        <sz val="11"/>
        <color theme="1"/>
        <rFont val="Calibri"/>
        <family val="2"/>
        <scheme val="minor"/>
      </rPr>
      <t>&lt;</t>
    </r>
    <r>
      <rPr>
        <sz val="11"/>
        <color theme="1"/>
        <rFont val="Calibri"/>
        <family val="2"/>
        <scheme val="minor"/>
      </rPr>
      <t xml:space="preserve"> 30%</t>
    </r>
  </si>
  <si>
    <r>
      <t xml:space="preserve">Cépages  complémentaires (Marsanne, Grenache Gris, Roussanne et Vermentino) + cépages accessoires (Carignan B, Viognier)  </t>
    </r>
    <r>
      <rPr>
        <u/>
        <sz val="11"/>
        <color theme="1"/>
        <rFont val="Calibri"/>
        <family val="2"/>
        <scheme val="minor"/>
      </rPr>
      <t>&lt;</t>
    </r>
    <r>
      <rPr>
        <sz val="11"/>
        <color theme="1"/>
        <rFont val="Calibri"/>
        <family val="2"/>
        <scheme val="minor"/>
      </rPr>
      <t xml:space="preserve"> 50%</t>
    </r>
  </si>
  <si>
    <r>
      <t xml:space="preserve">cépage accessoire (Lledoner pelut) </t>
    </r>
    <r>
      <rPr>
        <u/>
        <sz val="11"/>
        <color theme="1"/>
        <rFont val="Calibri"/>
        <family val="2"/>
        <scheme val="minor"/>
      </rPr>
      <t>&lt;</t>
    </r>
    <r>
      <rPr>
        <sz val="11"/>
        <color theme="1"/>
        <rFont val="Calibri"/>
        <family val="2"/>
        <scheme val="minor"/>
      </rPr>
      <t xml:space="preserve"> 20%</t>
    </r>
  </si>
  <si>
    <r>
      <t xml:space="preserve">cépage complémentaire (Lledoner pelut) </t>
    </r>
    <r>
      <rPr>
        <u/>
        <sz val="11"/>
        <color theme="1"/>
        <rFont val="Calibri"/>
        <family val="2"/>
        <scheme val="minor"/>
      </rPr>
      <t>&lt;</t>
    </r>
    <r>
      <rPr>
        <sz val="11"/>
        <color theme="1"/>
        <rFont val="Calibri"/>
        <family val="2"/>
        <scheme val="minor"/>
      </rPr>
      <t xml:space="preserve"> 20%</t>
    </r>
  </si>
  <si>
    <r>
      <t xml:space="preserve">Cépages  principaux (Grenache B, Grenache Gris, Macabeu et Tourbat B)  </t>
    </r>
    <r>
      <rPr>
        <u/>
        <sz val="11"/>
        <color theme="1"/>
        <rFont val="Calibri"/>
        <family val="2"/>
        <scheme val="minor"/>
      </rPr>
      <t>&gt;</t>
    </r>
    <r>
      <rPr>
        <sz val="11"/>
        <color theme="1"/>
        <rFont val="Calibri"/>
        <family val="2"/>
        <scheme val="minor"/>
      </rPr>
      <t xml:space="preserve"> 80%</t>
    </r>
  </si>
  <si>
    <t>Points de contrôle</t>
  </si>
  <si>
    <r>
      <t xml:space="preserve">Cépages  principaux (Carignan N, Grenache N, Mourvèdre, Syrah)  </t>
    </r>
    <r>
      <rPr>
        <u/>
        <sz val="11"/>
        <color theme="1"/>
        <rFont val="Calibri"/>
        <family val="2"/>
        <scheme val="minor"/>
      </rPr>
      <t>&gt;</t>
    </r>
    <r>
      <rPr>
        <sz val="11"/>
        <color theme="1"/>
        <rFont val="Calibri"/>
        <family val="2"/>
        <scheme val="minor"/>
      </rPr>
      <t xml:space="preserve"> 80% :</t>
    </r>
  </si>
  <si>
    <r>
      <t xml:space="preserve">cépages accessoires (Cinsault, Lledoner pelut) </t>
    </r>
    <r>
      <rPr>
        <u/>
        <sz val="11"/>
        <color theme="1"/>
        <rFont val="Calibri"/>
        <family val="2"/>
        <scheme val="minor"/>
      </rPr>
      <t>&lt;</t>
    </r>
    <r>
      <rPr>
        <sz val="11"/>
        <color theme="1"/>
        <rFont val="Calibri"/>
        <family val="2"/>
        <scheme val="minor"/>
      </rPr>
      <t xml:space="preserve"> 20% :</t>
    </r>
  </si>
  <si>
    <r>
      <t xml:space="preserve">Cépage le plus important </t>
    </r>
    <r>
      <rPr>
        <u/>
        <sz val="11"/>
        <color theme="1"/>
        <rFont val="Calibri"/>
        <family val="2"/>
        <scheme val="minor"/>
      </rPr>
      <t>&lt;</t>
    </r>
    <r>
      <rPr>
        <sz val="11"/>
        <color theme="1"/>
        <rFont val="Calibri"/>
        <family val="2"/>
        <scheme val="minor"/>
      </rPr>
      <t xml:space="preserve"> 70% :</t>
    </r>
  </si>
  <si>
    <r>
      <t xml:space="preserve">Carignan </t>
    </r>
    <r>
      <rPr>
        <u/>
        <sz val="11"/>
        <color theme="1"/>
        <rFont val="Calibri"/>
        <family val="2"/>
        <scheme val="minor"/>
      </rPr>
      <t>&lt;</t>
    </r>
    <r>
      <rPr>
        <sz val="11"/>
        <color theme="1"/>
        <rFont val="Calibri"/>
        <family val="2"/>
        <scheme val="minor"/>
      </rPr>
      <t xml:space="preserve"> 50% :</t>
    </r>
  </si>
  <si>
    <r>
      <t xml:space="preserve">Mourvèdre + Syrah </t>
    </r>
    <r>
      <rPr>
        <u/>
        <sz val="11"/>
        <color theme="1"/>
        <rFont val="Calibri"/>
        <family val="2"/>
        <scheme val="minor"/>
      </rPr>
      <t>&gt;</t>
    </r>
    <r>
      <rPr>
        <sz val="11"/>
        <color theme="1"/>
        <rFont val="Calibri"/>
        <family val="2"/>
        <scheme val="minor"/>
      </rPr>
      <t xml:space="preserve"> 25 % :</t>
    </r>
  </si>
  <si>
    <t>principal (P) / accessoire (A)</t>
  </si>
  <si>
    <t>1- Saisir les surfaces par cépage dans les cellules jaunes.</t>
  </si>
  <si>
    <t>3- Modifier les surfaces tant que les contrôles ne sont pas tous vert.</t>
  </si>
  <si>
    <t>2- Les anomalies de règles d'encépagement se matérialisent dans le tableau "Points de contrôle".</t>
  </si>
  <si>
    <t>Cépages  principaux (Grenache N, Syrah, Grenache gris) &gt; 70% :</t>
  </si>
  <si>
    <t>cépages accessoires (Carignan N, Mourvèdre, Cinsault, Lledoner pelut, Macabeu) &lt; 30% :</t>
  </si>
  <si>
    <t>Cépage le plus important &lt; 70% :</t>
  </si>
  <si>
    <t>Cépages  principaux (Grenache B, Macabeu et Tourbat)  &gt; 50% :</t>
  </si>
  <si>
    <t>cépages accessoires (Carignan B, Viognier) &lt; 10% :</t>
  </si>
  <si>
    <t>Cépage le plus important &lt; 80% :</t>
  </si>
  <si>
    <t>principal (P) / accessoire (A) / complémentaire (C)</t>
  </si>
  <si>
    <t>Cépages complémentaires (Marsanne, Grenache Gris, Roussanne et Vermentino) + cépages accessoires (Carignan B, Viognier)  &lt; 50% :</t>
  </si>
  <si>
    <t>Cépages  principaux (Carignan N, Grenache N, Mourvèdre N, Syrah) &gt; 80% :</t>
  </si>
  <si>
    <t>cépage accessoire (Lledoner pelut) &lt; 20% :</t>
  </si>
  <si>
    <t>Carignan &lt; 60% :</t>
  </si>
  <si>
    <r>
      <t>Mourvèdre + Syrah</t>
    </r>
    <r>
      <rPr>
        <u/>
        <sz val="11"/>
        <color theme="1"/>
        <rFont val="Calibri"/>
        <family val="2"/>
        <scheme val="minor"/>
      </rPr>
      <t xml:space="preserve"> &gt;</t>
    </r>
    <r>
      <rPr>
        <sz val="11"/>
        <color theme="1"/>
        <rFont val="Calibri"/>
        <family val="2"/>
        <scheme val="minor"/>
      </rPr>
      <t xml:space="preserve"> 30 % :</t>
    </r>
  </si>
  <si>
    <t>2 cépages :</t>
  </si>
  <si>
    <t>3 cépages :</t>
  </si>
  <si>
    <t>2 des cépages principaux (Grenache N, Mourvèdre, Syrah)  les plus importants &lt; 90% :</t>
  </si>
  <si>
    <t>Carignan &lt; 25% :</t>
  </si>
  <si>
    <t>Mourvèdre + Syrah &gt; 25 % :</t>
  </si>
  <si>
    <t>Grenache N. &lt; 50% :</t>
  </si>
  <si>
    <t>Mourvèdre &lt; 50% :</t>
  </si>
  <si>
    <t>principal (P ) / accessoire (A)</t>
  </si>
  <si>
    <t xml:space="preserve">Surface Principaux : </t>
  </si>
  <si>
    <t xml:space="preserve">Surface Sy/Mrvd : </t>
  </si>
  <si>
    <t>Total Principaux :</t>
  </si>
  <si>
    <t>Total Accessoire :</t>
  </si>
  <si>
    <t>Total Complémentaire :</t>
  </si>
  <si>
    <t>Potentiel max* :</t>
  </si>
  <si>
    <t>Côtes du Roussillon Rouge</t>
  </si>
  <si>
    <t>Côtes du Roussillon Villages</t>
  </si>
  <si>
    <t>Côtes du Roussillon Rosé</t>
  </si>
  <si>
    <t>Côtes du Roussillon Blanc</t>
  </si>
  <si>
    <t>Côtes du Roussillon Villages Les Aspres</t>
  </si>
  <si>
    <t>Côtes du Roussillon Villages Latour de France</t>
  </si>
  <si>
    <t>Côtes du Roussillon Villages Caramany</t>
  </si>
  <si>
    <t>Côtes du Roussillon Villages Lesquerde</t>
  </si>
  <si>
    <t>Côtes du Roussillon Villages Tautavel</t>
  </si>
  <si>
    <t>Maury Sec</t>
  </si>
  <si>
    <t>Maury Grenat ou tuilé</t>
  </si>
  <si>
    <t>Maury Ambré ou Blanc</t>
  </si>
  <si>
    <t>Muscat de Rivesaltes</t>
  </si>
  <si>
    <t>Rivesaltes Ambé, Rosé ou Tuilé</t>
  </si>
  <si>
    <t>Rivesaltes Grenat</t>
  </si>
  <si>
    <t>Retour à l'accueil</t>
  </si>
  <si>
    <t>Les règles de proportion :</t>
  </si>
  <si>
    <t>Les règles de proportion ou règles d’encépagement sont un des éléments clés des Cahiers des charges. </t>
  </si>
  <si>
    <r>
      <t xml:space="preserve">- </t>
    </r>
    <r>
      <rPr>
        <b/>
        <sz val="12"/>
        <color theme="1"/>
        <rFont val="Calibri"/>
        <family val="2"/>
        <scheme val="minor"/>
      </rPr>
      <t>Concernent la répartition en SURFACE</t>
    </r>
    <r>
      <rPr>
        <sz val="12"/>
        <color theme="1"/>
        <rFont val="Calibri"/>
        <family val="2"/>
        <scheme val="minor"/>
      </rPr>
      <t> des catégories de cépages.</t>
    </r>
  </si>
  <si>
    <r>
      <t xml:space="preserve">- </t>
    </r>
    <r>
      <rPr>
        <b/>
        <sz val="12"/>
        <color theme="1"/>
        <rFont val="Calibri"/>
        <family val="2"/>
        <scheme val="minor"/>
      </rPr>
      <t>Prennent en compte uniquement</t>
    </r>
    <r>
      <rPr>
        <sz val="12"/>
        <color theme="1"/>
        <rFont val="Calibri"/>
        <family val="2"/>
        <scheme val="minor"/>
      </rPr>
      <t> les surfaces des parcelles en PRODUCTION, c’est-à-dire à partir de la 4è feuille</t>
    </r>
  </si>
  <si>
    <r>
      <t xml:space="preserve">- </t>
    </r>
    <r>
      <rPr>
        <b/>
        <sz val="12"/>
        <color theme="1"/>
        <rFont val="Calibri"/>
        <family val="2"/>
        <scheme val="minor"/>
      </rPr>
      <t>Se définissent par APPELLATION et COULEUR</t>
    </r>
    <r>
      <rPr>
        <sz val="12"/>
        <color theme="1"/>
        <rFont val="Calibri"/>
        <family val="2"/>
        <scheme val="minor"/>
      </rPr>
      <t> : le calcul des proportions de cépages se basera sur la déclaration d’affectation parcellaire.</t>
    </r>
  </si>
  <si>
    <t>Sur la base des cahiers des charges en vigeur au :</t>
  </si>
  <si>
    <t>CALCULETTE ENCEPAGEMENT</t>
  </si>
  <si>
    <t>CALCULETTE
Côtes du roussillon Rouge</t>
  </si>
  <si>
    <t>Pour des renseignements complémentaires : Maison des Vignerons 04 68 34 64 86</t>
  </si>
  <si>
    <t>CALCULETTE
Côtes du roussillon Rosé</t>
  </si>
  <si>
    <t>CALCULETTE
Côtes du roussillon Villages</t>
  </si>
  <si>
    <t>CALCULETTE
Côtes du roussillon Villages Les Aspres</t>
  </si>
  <si>
    <t>Mourvèdre + Syrah &gt; 30 % :</t>
  </si>
  <si>
    <t>CALCULETTE
Côtes du roussillon Villages Latour de France</t>
  </si>
  <si>
    <t>Cépages  principaux (Carignan N, Grenache N, Syrah)  &gt; 80% :</t>
  </si>
  <si>
    <t>Potentiel max * :</t>
  </si>
  <si>
    <t xml:space="preserve">Surface Syrah : </t>
  </si>
  <si>
    <t>CALCULETTE
Côtes du roussillon Villages CARAMANY</t>
  </si>
  <si>
    <t>principal (P ) / complémt (C)</t>
  </si>
  <si>
    <t>Syrah &gt; 40 % :</t>
  </si>
  <si>
    <t>CALCULETTE
Côtes du roussillon Villages LESQUERDE</t>
  </si>
  <si>
    <t>Syrah &gt; 30 % :</t>
  </si>
  <si>
    <t>Cépages  principaux (Carignan N, Grenache N, Mourvèdre et Syrah) &gt; 80% :</t>
  </si>
  <si>
    <t>cépage complémentaire (Lledoner pelut) &lt; 20% :</t>
  </si>
  <si>
    <t>Carignan &lt; 50% :</t>
  </si>
  <si>
    <t>Mourvèdre et Syrah &gt; 30 % :</t>
  </si>
  <si>
    <t>Grenache Noir et Lledoner pelut &gt; 20% :</t>
  </si>
  <si>
    <t>CALCULETTE
Côtes du roussillon Villages TAUTAVEL</t>
  </si>
  <si>
    <t>Grenache N. &gt; 60% et &lt; 80% :</t>
  </si>
  <si>
    <t>Lledoner pelut &lt; 10% :</t>
  </si>
  <si>
    <t>CALCULETTE
MAURY SEC</t>
  </si>
  <si>
    <t xml:space="preserve">Surface GN : </t>
  </si>
  <si>
    <t>Grenache N. &gt; 75% :</t>
  </si>
  <si>
    <t>Macabeu &lt; 10% :</t>
  </si>
  <si>
    <t>CALCULETTE
MAURY Grenat ou Tuilé</t>
  </si>
  <si>
    <t>Cépages  accessoires (Muscat Petit Grain et Muscat d'Alexandrie)  &lt; 20% :</t>
  </si>
  <si>
    <t>Cépages  principaux (Grenache B, Grenache Gris, Macabeu et Tourbat B)  &gt; 80% :</t>
  </si>
  <si>
    <t xml:space="preserve">Surface PRINCIPAUX : </t>
  </si>
  <si>
    <t>CALCULETTE
MAURY Ambré ou Blanc</t>
  </si>
  <si>
    <t>1 cépage :</t>
  </si>
  <si>
    <t>principal (P)</t>
  </si>
  <si>
    <t>CALCULETTE
Muscat de Rivesaltes</t>
  </si>
  <si>
    <t>Cépages  accessoires (Muscat d'Alexandrie et Muscat Petit Grain)  &lt; 20% :</t>
  </si>
  <si>
    <t>CALCULETTE
Rivesaltes Ambré, Rosé ou Tuilé</t>
  </si>
  <si>
    <t>CALCULETTE
Rivesaltes GRENAT</t>
  </si>
  <si>
    <t xml:space="preserve">&lt;= Sélectionner l'AOC, calculer !
Retrouver l'ensemble des cahiers des charges et des plans d'inspection sur </t>
  </si>
  <si>
    <t>www.maisondesvignerons66.fr</t>
  </si>
  <si>
    <t>Lien vers les autres SIQO</t>
  </si>
  <si>
    <r>
      <t xml:space="preserve">- </t>
    </r>
    <r>
      <rPr>
        <b/>
        <sz val="12"/>
        <color theme="1"/>
        <rFont val="Calibri"/>
        <family val="2"/>
        <scheme val="minor"/>
      </rPr>
      <t>S’appliquent à l’EXPLOITATION</t>
    </r>
    <r>
      <rPr>
        <sz val="12"/>
        <color theme="1"/>
        <rFont val="Calibri"/>
        <family val="2"/>
        <scheme val="minor"/>
      </rPr>
      <t> et non à l’unité de vinification (cave coopérative, structure d’achat de raisins). Chaque opérateur, qu’il soit coopérateur, vendeur de vendanges fraîches ou en cave particulière est concerné par cette règle. Toutefois, pour les Côtes du Roussillon et Côtes du Roussillon Villges et ses DGC une dérogation a été mise en place pour les opérateurs ne vinifiant pas leur production et dont la surface parcellairede l'exploitation au sein de l’appellation ne dépasse pas 1,5 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</si>
</sst>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scheme val="minor"/>
    </font>
    <font>
      <u/>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
      <sz val="11"/>
      <color theme="1"/>
      <name val="Calibri"/>
      <family val="2"/>
      <scheme val="minor"/>
    </font>
    <font>
      <b/>
      <sz val="16"/>
      <color theme="1"/>
      <name val="Calibri"/>
      <family val="2"/>
      <scheme val="minor"/>
    </font>
    <font>
      <u/>
      <sz val="11"/>
      <color theme="10"/>
      <name val="Calibri"/>
      <family val="2"/>
      <scheme val="minor"/>
    </font>
    <font>
      <sz val="12"/>
      <color theme="1"/>
      <name val="Calibri"/>
      <family val="2"/>
      <scheme val="minor"/>
    </font>
    <font>
      <b/>
      <sz val="12"/>
      <color theme="0"/>
      <name val="Calibri"/>
      <family val="2"/>
      <scheme val="minor"/>
    </font>
    <font>
      <b/>
      <sz val="14"/>
      <color rgb="FF990000"/>
      <name val="Calibri"/>
      <family val="2"/>
      <scheme val="minor"/>
    </font>
    <font>
      <b/>
      <u/>
      <sz val="14"/>
      <color theme="10"/>
      <name val="Calibri"/>
      <family val="2"/>
      <scheme val="minor"/>
    </font>
    <font>
      <b/>
      <sz val="20"/>
      <color rgb="FF990000"/>
      <name val="Calibri"/>
      <family val="2"/>
      <scheme val="minor"/>
    </font>
    <font>
      <b/>
      <sz val="11"/>
      <color rgb="FFFF0000"/>
      <name val="Calibri"/>
      <family val="2"/>
      <scheme val="minor"/>
    </font>
    <font>
      <sz val="11"/>
      <name val="Calibri"/>
      <family val="2"/>
      <scheme val="minor"/>
    </font>
    <font>
      <b/>
      <sz val="12"/>
      <color theme="10"/>
      <name val="Calibri"/>
      <family val="2"/>
      <scheme val="minor"/>
    </font>
    <font>
      <b/>
      <sz val="10"/>
      <color theme="1"/>
      <name val="Calibri"/>
      <family val="2"/>
      <scheme val="minor"/>
    </font>
    <font>
      <b/>
      <u/>
      <sz val="12"/>
      <color theme="10"/>
      <name val="Calibri"/>
      <family val="2"/>
      <scheme val="minor"/>
    </font>
    <font>
      <b/>
      <sz val="14"/>
      <color theme="0"/>
      <name val="Calibri"/>
      <family val="2"/>
      <scheme val="minor"/>
    </font>
    <font>
      <b/>
      <sz val="10"/>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9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9" fontId="9" fillId="0" borderId="0" applyFont="0" applyFill="0" applyBorder="0" applyAlignment="0" applyProtection="0"/>
    <xf numFmtId="0" fontId="11" fillId="0" borderId="0" applyNumberFormat="0" applyFill="0" applyBorder="0" applyAlignment="0" applyProtection="0"/>
  </cellStyleXfs>
  <cellXfs count="111">
    <xf numFmtId="0" fontId="0" fillId="0" borderId="0" xfId="0"/>
    <xf numFmtId="0" fontId="0" fillId="0" borderId="0" xfId="0" applyAlignment="1">
      <alignment vertical="justify"/>
    </xf>
    <xf numFmtId="0" fontId="0" fillId="2" borderId="0" xfId="0" applyFill="1"/>
    <xf numFmtId="0" fontId="0" fillId="0" borderId="0" xfId="0" applyFont="1"/>
    <xf numFmtId="2" fontId="0" fillId="0" borderId="0" xfId="0" applyNumberFormat="1"/>
    <xf numFmtId="0" fontId="0" fillId="0" borderId="1" xfId="0" applyBorder="1"/>
    <xf numFmtId="0" fontId="0" fillId="0" borderId="1" xfId="0" applyBorder="1" applyAlignment="1">
      <alignment vertical="justify"/>
    </xf>
    <xf numFmtId="2" fontId="0" fillId="0" borderId="1" xfId="0" applyNumberFormat="1" applyBorder="1"/>
    <xf numFmtId="2" fontId="0" fillId="0" borderId="1" xfId="0" applyNumberFormat="1" applyBorder="1" applyProtection="1">
      <protection hidden="1"/>
    </xf>
    <xf numFmtId="0" fontId="0" fillId="0" borderId="9" xfId="0" applyBorder="1" applyProtection="1">
      <protection hidden="1"/>
    </xf>
    <xf numFmtId="0" fontId="0" fillId="0" borderId="11" xfId="0" applyBorder="1" applyProtection="1">
      <protection hidden="1"/>
    </xf>
    <xf numFmtId="0" fontId="0" fillId="0" borderId="14" xfId="0" applyBorder="1" applyProtection="1">
      <protection hidden="1"/>
    </xf>
    <xf numFmtId="164" fontId="5" fillId="0" borderId="1" xfId="0" applyNumberFormat="1" applyFont="1" applyBorder="1" applyProtection="1">
      <protection hidden="1"/>
    </xf>
    <xf numFmtId="2" fontId="4" fillId="0" borderId="1" xfId="0" applyNumberFormat="1" applyFont="1" applyBorder="1" applyProtection="1">
      <protection hidden="1"/>
    </xf>
    <xf numFmtId="164" fontId="0" fillId="3" borderId="1" xfId="0" applyNumberFormat="1" applyFill="1" applyBorder="1" applyProtection="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0" xfId="0" applyFont="1" applyProtection="1">
      <protection hidden="1"/>
    </xf>
    <xf numFmtId="0" fontId="0" fillId="0" borderId="23" xfId="0" applyBorder="1" applyProtection="1">
      <protection hidden="1"/>
    </xf>
    <xf numFmtId="2" fontId="5" fillId="0" borderId="1" xfId="0" applyNumberFormat="1" applyFont="1" applyBorder="1" applyProtection="1">
      <protection hidden="1"/>
    </xf>
    <xf numFmtId="0" fontId="7" fillId="0" borderId="1" xfId="0" applyFont="1" applyBorder="1" applyAlignment="1">
      <alignment horizontal="center" vertical="center" wrapText="1"/>
    </xf>
    <xf numFmtId="2" fontId="5" fillId="0" borderId="1" xfId="0" applyNumberFormat="1" applyFont="1" applyBorder="1" applyAlignment="1" applyProtection="1">
      <alignment horizontal="right"/>
      <protection hidden="1"/>
    </xf>
    <xf numFmtId="164" fontId="5" fillId="0" borderId="1" xfId="0" applyNumberFormat="1" applyFont="1" applyBorder="1" applyAlignment="1" applyProtection="1">
      <alignment horizontal="right"/>
      <protection hidden="1"/>
    </xf>
    <xf numFmtId="0" fontId="0" fillId="0" borderId="11" xfId="0" applyBorder="1" applyAlignment="1" applyProtection="1">
      <alignment horizontal="left" vertical="center"/>
      <protection hidden="1"/>
    </xf>
    <xf numFmtId="164" fontId="4" fillId="4" borderId="0" xfId="0" applyNumberFormat="1" applyFont="1" applyFill="1" applyAlignment="1" applyProtection="1">
      <alignment horizontal="left"/>
      <protection hidden="1"/>
    </xf>
    <xf numFmtId="9" fontId="4" fillId="4" borderId="0" xfId="1" applyFont="1" applyFill="1" applyAlignment="1" applyProtection="1">
      <alignment horizontal="left"/>
      <protection hidden="1"/>
    </xf>
    <xf numFmtId="9" fontId="4" fillId="4" borderId="0" xfId="1" applyNumberFormat="1" applyFont="1" applyFill="1" applyAlignment="1" applyProtection="1">
      <alignment horizontal="left"/>
      <protection hidden="1"/>
    </xf>
    <xf numFmtId="0" fontId="0" fillId="0" borderId="15" xfId="0" applyBorder="1"/>
    <xf numFmtId="0" fontId="0" fillId="0" borderId="27" xfId="0" applyBorder="1"/>
    <xf numFmtId="0" fontId="0" fillId="0" borderId="16" xfId="0" applyBorder="1"/>
    <xf numFmtId="0" fontId="0" fillId="0" borderId="17" xfId="0" applyBorder="1"/>
    <xf numFmtId="0" fontId="0" fillId="0" borderId="0" xfId="0" applyBorder="1"/>
    <xf numFmtId="0" fontId="0" fillId="0" borderId="18" xfId="0" applyBorder="1"/>
    <xf numFmtId="0" fontId="6" fillId="0" borderId="17" xfId="0" applyFont="1" applyBorder="1"/>
    <xf numFmtId="0" fontId="12" fillId="0" borderId="17" xfId="0" applyFont="1" applyBorder="1"/>
    <xf numFmtId="0" fontId="2" fillId="0" borderId="1" xfId="0" applyFont="1" applyBorder="1"/>
    <xf numFmtId="14" fontId="17" fillId="0" borderId="0" xfId="0" applyNumberFormat="1" applyFont="1" applyBorder="1"/>
    <xf numFmtId="0" fontId="3" fillId="0" borderId="0" xfId="0" applyFont="1"/>
    <xf numFmtId="0" fontId="18" fillId="0" borderId="0" xfId="0" applyFont="1"/>
    <xf numFmtId="0" fontId="0" fillId="0" borderId="29" xfId="0" applyBorder="1" applyProtection="1">
      <protection hidden="1"/>
    </xf>
    <xf numFmtId="0" fontId="0" fillId="0" borderId="1" xfId="0" applyFont="1" applyBorder="1" applyAlignment="1">
      <alignment horizontal="center" vertical="center" wrapText="1"/>
    </xf>
    <xf numFmtId="0" fontId="0" fillId="0" borderId="0" xfId="0" applyFont="1" applyProtection="1">
      <protection hidden="1"/>
    </xf>
    <xf numFmtId="164" fontId="4" fillId="0" borderId="0" xfId="0" applyNumberFormat="1" applyFont="1" applyFill="1" applyAlignment="1" applyProtection="1">
      <alignment horizontal="left"/>
      <protection hidden="1"/>
    </xf>
    <xf numFmtId="0" fontId="18" fillId="0" borderId="0" xfId="0" applyFont="1" applyProtection="1">
      <protection hidden="1"/>
    </xf>
    <xf numFmtId="0" fontId="10" fillId="0" borderId="0" xfId="0" applyFont="1" applyBorder="1" applyAlignment="1">
      <alignment vertical="center" wrapText="1"/>
    </xf>
    <xf numFmtId="2" fontId="0" fillId="0" borderId="33" xfId="0" applyNumberFormat="1" applyBorder="1"/>
    <xf numFmtId="0" fontId="0" fillId="0" borderId="33" xfId="0" applyBorder="1"/>
    <xf numFmtId="0" fontId="3" fillId="0" borderId="0" xfId="0" applyFont="1" applyBorder="1"/>
    <xf numFmtId="2" fontId="3" fillId="0" borderId="0" xfId="0" applyNumberFormat="1" applyFont="1" applyBorder="1"/>
    <xf numFmtId="0" fontId="20" fillId="0" borderId="17" xfId="0" applyFont="1" applyBorder="1" applyAlignment="1">
      <alignment vertical="center"/>
    </xf>
    <xf numFmtId="0" fontId="20" fillId="0" borderId="19" xfId="0" applyFont="1" applyBorder="1" applyAlignment="1">
      <alignment vertical="center"/>
    </xf>
    <xf numFmtId="0" fontId="16" fillId="0" borderId="17" xfId="0" applyFont="1" applyBorder="1" applyAlignment="1">
      <alignment horizontal="center"/>
    </xf>
    <xf numFmtId="0" fontId="16" fillId="0" borderId="0" xfId="0" applyFont="1" applyBorder="1" applyAlignment="1">
      <alignment horizontal="center"/>
    </xf>
    <xf numFmtId="0" fontId="16" fillId="0" borderId="18" xfId="0" applyFont="1" applyBorder="1" applyAlignment="1">
      <alignment horizontal="center"/>
    </xf>
    <xf numFmtId="0" fontId="12" fillId="0" borderId="17" xfId="0" applyFont="1" applyBorder="1" applyAlignment="1">
      <alignment horizontal="right"/>
    </xf>
    <xf numFmtId="0" fontId="12" fillId="0" borderId="0" xfId="0" applyFont="1" applyBorder="1" applyAlignment="1">
      <alignment horizontal="right"/>
    </xf>
    <xf numFmtId="0" fontId="19" fillId="0" borderId="1" xfId="2" applyFont="1" applyFill="1" applyBorder="1" applyAlignment="1">
      <alignment horizontal="center"/>
    </xf>
    <xf numFmtId="0" fontId="10" fillId="0" borderId="0" xfId="0" applyFont="1" applyBorder="1" applyAlignment="1">
      <alignment horizontal="center" vertical="center" wrapText="1"/>
    </xf>
    <xf numFmtId="0" fontId="19" fillId="0" borderId="1" xfId="2" applyFont="1" applyBorder="1" applyAlignment="1">
      <alignment horizontal="center"/>
    </xf>
    <xf numFmtId="0" fontId="12" fillId="0" borderId="0" xfId="0" quotePrefix="1" applyFont="1" applyBorder="1" applyAlignment="1">
      <alignment horizontal="left" wrapText="1"/>
    </xf>
    <xf numFmtId="0" fontId="12" fillId="0" borderId="0" xfId="0" applyFont="1" applyBorder="1" applyAlignment="1">
      <alignment horizontal="left" wrapText="1"/>
    </xf>
    <xf numFmtId="0" fontId="12" fillId="0" borderId="18" xfId="0" applyFont="1" applyBorder="1" applyAlignment="1">
      <alignment horizontal="left" wrapText="1"/>
    </xf>
    <xf numFmtId="0" fontId="21" fillId="0" borderId="0" xfId="2" applyFont="1" applyBorder="1" applyAlignment="1">
      <alignment horizontal="center" vertical="center" wrapText="1"/>
    </xf>
    <xf numFmtId="0" fontId="4" fillId="0" borderId="19"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12" fillId="0" borderId="18" xfId="0" quotePrefix="1" applyFont="1" applyBorder="1" applyAlignment="1">
      <alignment horizontal="left" wrapText="1"/>
    </xf>
    <xf numFmtId="0" fontId="0" fillId="0" borderId="10" xfId="0"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15" fillId="5" borderId="25" xfId="2" applyFont="1" applyFill="1" applyBorder="1" applyAlignment="1">
      <alignment horizontal="center" vertical="center"/>
    </xf>
    <xf numFmtId="0" fontId="15" fillId="5" borderId="26" xfId="2" applyFont="1" applyFill="1" applyBorder="1" applyAlignment="1">
      <alignment horizontal="center" vertical="center"/>
    </xf>
    <xf numFmtId="0" fontId="14" fillId="0" borderId="0" xfId="0" applyFont="1" applyBorder="1" applyAlignment="1">
      <alignment horizontal="center" wrapText="1"/>
    </xf>
    <xf numFmtId="0" fontId="14" fillId="0" borderId="2" xfId="0" applyFont="1" applyBorder="1" applyAlignment="1">
      <alignment horizontal="center" wrapText="1"/>
    </xf>
    <xf numFmtId="0" fontId="0" fillId="0" borderId="10" xfId="0" applyBorder="1" applyAlignment="1">
      <alignment horizontal="right" vertical="justify"/>
    </xf>
    <xf numFmtId="0" fontId="0" fillId="0" borderId="1" xfId="0" applyBorder="1" applyAlignment="1">
      <alignment horizontal="right" vertical="justify"/>
    </xf>
    <xf numFmtId="0" fontId="13" fillId="6" borderId="5" xfId="0" applyFont="1" applyFill="1" applyBorder="1" applyAlignment="1">
      <alignment horizontal="center"/>
    </xf>
    <xf numFmtId="0" fontId="13" fillId="6" borderId="6" xfId="0" applyFont="1" applyFill="1" applyBorder="1" applyAlignment="1">
      <alignment horizontal="center"/>
    </xf>
    <xf numFmtId="0" fontId="13" fillId="6" borderId="7" xfId="0" applyFont="1" applyFill="1" applyBorder="1" applyAlignment="1">
      <alignment horizontal="center"/>
    </xf>
    <xf numFmtId="0" fontId="5" fillId="0" borderId="24" xfId="0" applyFont="1" applyBorder="1" applyAlignment="1">
      <alignment horizontal="right"/>
    </xf>
    <xf numFmtId="0" fontId="5" fillId="0" borderId="3" xfId="0" applyFont="1" applyBorder="1" applyAlignment="1">
      <alignment horizontal="right"/>
    </xf>
    <xf numFmtId="0" fontId="6" fillId="0" borderId="15" xfId="0" applyFont="1" applyBorder="1" applyAlignment="1" applyProtection="1">
      <alignment horizontal="center" vertical="center" wrapText="1"/>
      <protection hidden="1"/>
    </xf>
    <xf numFmtId="0" fontId="6" fillId="0" borderId="16" xfId="0" applyFont="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0" fontId="6" fillId="0" borderId="20" xfId="0" applyFont="1" applyBorder="1" applyAlignment="1" applyProtection="1">
      <alignment horizontal="center" vertical="center" wrapText="1"/>
      <protection hidden="1"/>
    </xf>
    <xf numFmtId="0" fontId="0" fillId="0" borderId="8" xfId="0" applyBorder="1" applyAlignment="1">
      <alignment horizontal="right"/>
    </xf>
    <xf numFmtId="0" fontId="0" fillId="0" borderId="4" xfId="0" applyBorder="1" applyAlignment="1">
      <alignment horizontal="right"/>
    </xf>
    <xf numFmtId="0" fontId="4" fillId="4" borderId="0" xfId="0" applyFont="1" applyFill="1" applyAlignment="1" applyProtection="1">
      <alignment horizontal="right"/>
      <protection hidden="1"/>
    </xf>
    <xf numFmtId="0" fontId="22" fillId="6" borderId="15" xfId="0" applyFont="1" applyFill="1" applyBorder="1" applyAlignment="1">
      <alignment horizontal="center"/>
    </xf>
    <xf numFmtId="0" fontId="22" fillId="6" borderId="27" xfId="0" applyFont="1" applyFill="1" applyBorder="1" applyAlignment="1">
      <alignment horizontal="center"/>
    </xf>
    <xf numFmtId="0" fontId="22" fillId="6" borderId="16" xfId="0" applyFont="1" applyFill="1" applyBorder="1" applyAlignment="1">
      <alignment horizontal="center"/>
    </xf>
    <xf numFmtId="0" fontId="23" fillId="0" borderId="13" xfId="2" applyFont="1" applyFill="1" applyBorder="1" applyAlignment="1">
      <alignment horizontal="center" vertical="center"/>
    </xf>
    <xf numFmtId="0" fontId="23" fillId="0" borderId="14" xfId="2" applyFont="1" applyFill="1" applyBorder="1" applyAlignment="1">
      <alignment horizontal="center" vertical="center"/>
    </xf>
    <xf numFmtId="0" fontId="23" fillId="0" borderId="1" xfId="2" applyFont="1" applyBorder="1" applyAlignment="1">
      <alignment horizontal="center" vertical="center"/>
    </xf>
    <xf numFmtId="0" fontId="23" fillId="0" borderId="11" xfId="2" applyFont="1" applyBorder="1" applyAlignment="1">
      <alignment horizontal="center" vertical="center"/>
    </xf>
    <xf numFmtId="0" fontId="23" fillId="0" borderId="1" xfId="2" applyFont="1" applyFill="1" applyBorder="1" applyAlignment="1">
      <alignment horizontal="center" vertical="center"/>
    </xf>
    <xf numFmtId="0" fontId="23" fillId="0" borderId="11" xfId="2" applyFont="1" applyFill="1" applyBorder="1" applyAlignment="1">
      <alignment horizontal="center" vertical="center"/>
    </xf>
    <xf numFmtId="0" fontId="0" fillId="0" borderId="21" xfId="0" applyBorder="1" applyAlignment="1">
      <alignment horizontal="right"/>
    </xf>
    <xf numFmtId="0" fontId="0" fillId="0" borderId="22" xfId="0" applyBorder="1" applyAlignment="1">
      <alignment horizontal="right"/>
    </xf>
    <xf numFmtId="0" fontId="8" fillId="0" borderId="10" xfId="0" applyFont="1" applyBorder="1" applyAlignment="1">
      <alignment horizontal="right" vertical="justify"/>
    </xf>
    <xf numFmtId="0" fontId="8" fillId="0" borderId="1" xfId="0" applyFont="1" applyBorder="1" applyAlignment="1">
      <alignment horizontal="right" vertical="justify"/>
    </xf>
    <xf numFmtId="0" fontId="0" fillId="0" borderId="30" xfId="0" applyBorder="1" applyAlignment="1">
      <alignment horizontal="right" wrapText="1"/>
    </xf>
    <xf numFmtId="0" fontId="0" fillId="0" borderId="31" xfId="0" applyBorder="1" applyAlignment="1">
      <alignment horizontal="right" wrapText="1"/>
    </xf>
    <xf numFmtId="0" fontId="0" fillId="0" borderId="32" xfId="0" applyBorder="1" applyAlignment="1">
      <alignment horizontal="right" wrapText="1"/>
    </xf>
    <xf numFmtId="0" fontId="0" fillId="0" borderId="21" xfId="0" applyBorder="1" applyAlignment="1">
      <alignment horizontal="right" wrapText="1"/>
    </xf>
    <xf numFmtId="0" fontId="0" fillId="0" borderId="22" xfId="0" applyBorder="1" applyAlignment="1">
      <alignment horizontal="right" wrapText="1"/>
    </xf>
    <xf numFmtId="0" fontId="4" fillId="0" borderId="0" xfId="0" applyFont="1" applyFill="1" applyAlignment="1" applyProtection="1">
      <alignment horizontal="right"/>
      <protection hidden="1"/>
    </xf>
  </cellXfs>
  <cellStyles count="3">
    <cellStyle name="Lien hypertexte" xfId="2" builtinId="8"/>
    <cellStyle name="Normal" xfId="0" builtinId="0"/>
    <cellStyle name="Pourcentage" xfId="1" builtinId="5"/>
  </cellStyles>
  <dxfs count="296">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92D050"/>
        </patternFill>
      </fill>
    </dxf>
    <dxf>
      <fill>
        <patternFill>
          <bgColor rgb="FFFF000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990000"/>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38100</xdr:rowOff>
    </xdr:from>
    <xdr:to>
      <xdr:col>3</xdr:col>
      <xdr:colOff>133350</xdr:colOff>
      <xdr:row>6</xdr:row>
      <xdr:rowOff>0</xdr:rowOff>
    </xdr:to>
    <xdr:pic>
      <xdr:nvPicPr>
        <xdr:cNvPr id="2" name="Picture 1" descr="LOGO-MAISON-DES-VIGNERONS 2">
          <a:extLst>
            <a:ext uri="{FF2B5EF4-FFF2-40B4-BE49-F238E27FC236}">
              <a16:creationId xmlns:a16="http://schemas.microsoft.com/office/drawing/2014/main" id="{EA993957-A964-497D-B951-DCD984B5DD43}"/>
            </a:ext>
          </a:extLst>
        </xdr:cNvPr>
        <xdr:cNvPicPr>
          <a:picLocks noChangeAspect="1" noChangeArrowheads="1"/>
        </xdr:cNvPicPr>
      </xdr:nvPicPr>
      <xdr:blipFill rotWithShape="1">
        <a:blip xmlns:r="http://schemas.openxmlformats.org/officeDocument/2006/relationships" r:embed="rId1" cstate="print"/>
        <a:srcRect l="6494" t="19079" r="5844" b="16767"/>
        <a:stretch/>
      </xdr:blipFill>
      <xdr:spPr bwMode="auto">
        <a:xfrm>
          <a:off x="904875" y="238125"/>
          <a:ext cx="1323975" cy="10572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24849</xdr:colOff>
      <xdr:row>1</xdr:row>
      <xdr:rowOff>0</xdr:rowOff>
    </xdr:from>
    <xdr:to>
      <xdr:col>0</xdr:col>
      <xdr:colOff>745436</xdr:colOff>
      <xdr:row>3</xdr:row>
      <xdr:rowOff>182217</xdr:rowOff>
    </xdr:to>
    <xdr:pic>
      <xdr:nvPicPr>
        <xdr:cNvPr id="2" name="Picture 1" descr="LOGO-MAISON-DES-VIGNERONS 2">
          <a:extLst>
            <a:ext uri="{FF2B5EF4-FFF2-40B4-BE49-F238E27FC236}">
              <a16:creationId xmlns:a16="http://schemas.microsoft.com/office/drawing/2014/main" id="{F3644484-8903-4CBD-95A7-DCEAEE00416A}"/>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4849" y="0"/>
          <a:ext cx="720587" cy="612913"/>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33132</xdr:colOff>
      <xdr:row>1</xdr:row>
      <xdr:rowOff>0</xdr:rowOff>
    </xdr:from>
    <xdr:to>
      <xdr:col>0</xdr:col>
      <xdr:colOff>753719</xdr:colOff>
      <xdr:row>3</xdr:row>
      <xdr:rowOff>182217</xdr:rowOff>
    </xdr:to>
    <xdr:pic>
      <xdr:nvPicPr>
        <xdr:cNvPr id="2" name="Picture 1" descr="LOGO-MAISON-DES-VIGNERONS 2">
          <a:extLst>
            <a:ext uri="{FF2B5EF4-FFF2-40B4-BE49-F238E27FC236}">
              <a16:creationId xmlns:a16="http://schemas.microsoft.com/office/drawing/2014/main" id="{E22F01AA-149A-43B8-96AC-BC0B327ED933}"/>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33132" y="0"/>
          <a:ext cx="720587" cy="612913"/>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23814</xdr:colOff>
      <xdr:row>1</xdr:row>
      <xdr:rowOff>0</xdr:rowOff>
    </xdr:from>
    <xdr:to>
      <xdr:col>0</xdr:col>
      <xdr:colOff>744401</xdr:colOff>
      <xdr:row>3</xdr:row>
      <xdr:rowOff>182217</xdr:rowOff>
    </xdr:to>
    <xdr:pic>
      <xdr:nvPicPr>
        <xdr:cNvPr id="2" name="Picture 1" descr="LOGO-MAISON-DES-VIGNERONS 2">
          <a:extLst>
            <a:ext uri="{FF2B5EF4-FFF2-40B4-BE49-F238E27FC236}">
              <a16:creationId xmlns:a16="http://schemas.microsoft.com/office/drawing/2014/main" id="{40BDCE0E-6631-4D4A-BD16-7FE05894ACB4}"/>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3814" y="0"/>
          <a:ext cx="720587" cy="610842"/>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23814</xdr:colOff>
      <xdr:row>1</xdr:row>
      <xdr:rowOff>0</xdr:rowOff>
    </xdr:from>
    <xdr:to>
      <xdr:col>0</xdr:col>
      <xdr:colOff>744401</xdr:colOff>
      <xdr:row>3</xdr:row>
      <xdr:rowOff>182217</xdr:rowOff>
    </xdr:to>
    <xdr:pic>
      <xdr:nvPicPr>
        <xdr:cNvPr id="2" name="Picture 1" descr="LOGO-MAISON-DES-VIGNERONS 2">
          <a:extLst>
            <a:ext uri="{FF2B5EF4-FFF2-40B4-BE49-F238E27FC236}">
              <a16:creationId xmlns:a16="http://schemas.microsoft.com/office/drawing/2014/main" id="{345A6B73-8C0E-4FF3-8628-6972D70028FA}"/>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3814" y="0"/>
          <a:ext cx="720587" cy="610842"/>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23814</xdr:colOff>
      <xdr:row>1</xdr:row>
      <xdr:rowOff>0</xdr:rowOff>
    </xdr:from>
    <xdr:to>
      <xdr:col>0</xdr:col>
      <xdr:colOff>744401</xdr:colOff>
      <xdr:row>3</xdr:row>
      <xdr:rowOff>182217</xdr:rowOff>
    </xdr:to>
    <xdr:pic>
      <xdr:nvPicPr>
        <xdr:cNvPr id="2" name="Picture 1" descr="LOGO-MAISON-DES-VIGNERONS 2">
          <a:extLst>
            <a:ext uri="{FF2B5EF4-FFF2-40B4-BE49-F238E27FC236}">
              <a16:creationId xmlns:a16="http://schemas.microsoft.com/office/drawing/2014/main" id="{1AE1D993-2433-42F2-B3EE-AEA6C1586B1E}"/>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3814" y="0"/>
          <a:ext cx="720587" cy="610842"/>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23814</xdr:colOff>
      <xdr:row>1</xdr:row>
      <xdr:rowOff>0</xdr:rowOff>
    </xdr:from>
    <xdr:to>
      <xdr:col>0</xdr:col>
      <xdr:colOff>744401</xdr:colOff>
      <xdr:row>3</xdr:row>
      <xdr:rowOff>182217</xdr:rowOff>
    </xdr:to>
    <xdr:pic>
      <xdr:nvPicPr>
        <xdr:cNvPr id="2" name="Picture 1" descr="LOGO-MAISON-DES-VIGNERONS 2">
          <a:extLst>
            <a:ext uri="{FF2B5EF4-FFF2-40B4-BE49-F238E27FC236}">
              <a16:creationId xmlns:a16="http://schemas.microsoft.com/office/drawing/2014/main" id="{834F2EA8-CFD5-488A-9F45-1AD75146E816}"/>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3814" y="0"/>
          <a:ext cx="720587" cy="610842"/>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23814</xdr:colOff>
      <xdr:row>1</xdr:row>
      <xdr:rowOff>7938</xdr:rowOff>
    </xdr:from>
    <xdr:to>
      <xdr:col>0</xdr:col>
      <xdr:colOff>744401</xdr:colOff>
      <xdr:row>3</xdr:row>
      <xdr:rowOff>190155</xdr:rowOff>
    </xdr:to>
    <xdr:pic>
      <xdr:nvPicPr>
        <xdr:cNvPr id="2" name="Picture 1" descr="LOGO-MAISON-DES-VIGNERONS 2">
          <a:extLst>
            <a:ext uri="{FF2B5EF4-FFF2-40B4-BE49-F238E27FC236}">
              <a16:creationId xmlns:a16="http://schemas.microsoft.com/office/drawing/2014/main" id="{13A85E8A-6D60-4D5C-B6B2-ACEB659B5993}"/>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3814" y="7938"/>
          <a:ext cx="720587" cy="61084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24848</xdr:colOff>
      <xdr:row>1</xdr:row>
      <xdr:rowOff>0</xdr:rowOff>
    </xdr:from>
    <xdr:to>
      <xdr:col>0</xdr:col>
      <xdr:colOff>745435</xdr:colOff>
      <xdr:row>3</xdr:row>
      <xdr:rowOff>124059</xdr:rowOff>
    </xdr:to>
    <xdr:pic>
      <xdr:nvPicPr>
        <xdr:cNvPr id="2" name="Picture 1" descr="LOGO-MAISON-DES-VIGNERONS 2">
          <a:extLst>
            <a:ext uri="{FF2B5EF4-FFF2-40B4-BE49-F238E27FC236}">
              <a16:creationId xmlns:a16="http://schemas.microsoft.com/office/drawing/2014/main" id="{7FC0D00F-562C-403E-9C8F-B0B9221D5678}"/>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4848" y="0"/>
          <a:ext cx="720587" cy="59616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720587</xdr:colOff>
      <xdr:row>3</xdr:row>
      <xdr:rowOff>124239</xdr:rowOff>
    </xdr:to>
    <xdr:pic>
      <xdr:nvPicPr>
        <xdr:cNvPr id="2" name="Picture 1" descr="LOGO-MAISON-DES-VIGNERONS 2">
          <a:extLst>
            <a:ext uri="{FF2B5EF4-FFF2-40B4-BE49-F238E27FC236}">
              <a16:creationId xmlns:a16="http://schemas.microsoft.com/office/drawing/2014/main" id="{5AE3F3B9-1DD1-49F5-A1EB-232D57F9832B}"/>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0" y="0"/>
          <a:ext cx="720587" cy="61291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8283</xdr:colOff>
      <xdr:row>1</xdr:row>
      <xdr:rowOff>0</xdr:rowOff>
    </xdr:from>
    <xdr:to>
      <xdr:col>0</xdr:col>
      <xdr:colOff>728870</xdr:colOff>
      <xdr:row>3</xdr:row>
      <xdr:rowOff>124239</xdr:rowOff>
    </xdr:to>
    <xdr:pic>
      <xdr:nvPicPr>
        <xdr:cNvPr id="2" name="Picture 1" descr="LOGO-MAISON-DES-VIGNERONS 2">
          <a:extLst>
            <a:ext uri="{FF2B5EF4-FFF2-40B4-BE49-F238E27FC236}">
              <a16:creationId xmlns:a16="http://schemas.microsoft.com/office/drawing/2014/main" id="{9A566C5D-0303-4B0E-A9FE-E35299AE65CD}"/>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8283" y="0"/>
          <a:ext cx="720587" cy="61291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16566</xdr:colOff>
      <xdr:row>1</xdr:row>
      <xdr:rowOff>16566</xdr:rowOff>
    </xdr:from>
    <xdr:to>
      <xdr:col>0</xdr:col>
      <xdr:colOff>737153</xdr:colOff>
      <xdr:row>3</xdr:row>
      <xdr:rowOff>132522</xdr:rowOff>
    </xdr:to>
    <xdr:pic>
      <xdr:nvPicPr>
        <xdr:cNvPr id="4" name="Picture 1" descr="LOGO-MAISON-DES-VIGNERONS 2">
          <a:extLst>
            <a:ext uri="{FF2B5EF4-FFF2-40B4-BE49-F238E27FC236}">
              <a16:creationId xmlns:a16="http://schemas.microsoft.com/office/drawing/2014/main" id="{D0EB80CB-77A5-4EF7-AC6F-BBFB1E6EF09B}"/>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16566" y="16566"/>
          <a:ext cx="720587" cy="61291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720587</xdr:colOff>
      <xdr:row>3</xdr:row>
      <xdr:rowOff>124239</xdr:rowOff>
    </xdr:to>
    <xdr:pic>
      <xdr:nvPicPr>
        <xdr:cNvPr id="2" name="Picture 1" descr="LOGO-MAISON-DES-VIGNERONS 2">
          <a:extLst>
            <a:ext uri="{FF2B5EF4-FFF2-40B4-BE49-F238E27FC236}">
              <a16:creationId xmlns:a16="http://schemas.microsoft.com/office/drawing/2014/main" id="{132B07ED-75DC-4FD1-A412-9045418EB112}"/>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0" y="0"/>
          <a:ext cx="720587" cy="61291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24849</xdr:colOff>
      <xdr:row>1</xdr:row>
      <xdr:rowOff>0</xdr:rowOff>
    </xdr:from>
    <xdr:to>
      <xdr:col>0</xdr:col>
      <xdr:colOff>745436</xdr:colOff>
      <xdr:row>3</xdr:row>
      <xdr:rowOff>157370</xdr:rowOff>
    </xdr:to>
    <xdr:pic>
      <xdr:nvPicPr>
        <xdr:cNvPr id="2" name="Picture 1" descr="LOGO-MAISON-DES-VIGNERONS 2">
          <a:extLst>
            <a:ext uri="{FF2B5EF4-FFF2-40B4-BE49-F238E27FC236}">
              <a16:creationId xmlns:a16="http://schemas.microsoft.com/office/drawing/2014/main" id="{D34E6EE4-C79B-464F-8573-7F6227C595C1}"/>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4849" y="0"/>
          <a:ext cx="720587" cy="61291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24849</xdr:colOff>
      <xdr:row>1</xdr:row>
      <xdr:rowOff>0</xdr:rowOff>
    </xdr:from>
    <xdr:to>
      <xdr:col>0</xdr:col>
      <xdr:colOff>745436</xdr:colOff>
      <xdr:row>3</xdr:row>
      <xdr:rowOff>182217</xdr:rowOff>
    </xdr:to>
    <xdr:pic>
      <xdr:nvPicPr>
        <xdr:cNvPr id="2" name="Picture 1" descr="LOGO-MAISON-DES-VIGNERONS 2">
          <a:extLst>
            <a:ext uri="{FF2B5EF4-FFF2-40B4-BE49-F238E27FC236}">
              <a16:creationId xmlns:a16="http://schemas.microsoft.com/office/drawing/2014/main" id="{F4A19A24-0C50-4941-87A5-734342E89D3E}"/>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4849" y="0"/>
          <a:ext cx="720587" cy="61291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24849</xdr:colOff>
      <xdr:row>1</xdr:row>
      <xdr:rowOff>0</xdr:rowOff>
    </xdr:from>
    <xdr:to>
      <xdr:col>0</xdr:col>
      <xdr:colOff>745436</xdr:colOff>
      <xdr:row>3</xdr:row>
      <xdr:rowOff>182217</xdr:rowOff>
    </xdr:to>
    <xdr:pic>
      <xdr:nvPicPr>
        <xdr:cNvPr id="2" name="Picture 1" descr="LOGO-MAISON-DES-VIGNERONS 2">
          <a:extLst>
            <a:ext uri="{FF2B5EF4-FFF2-40B4-BE49-F238E27FC236}">
              <a16:creationId xmlns:a16="http://schemas.microsoft.com/office/drawing/2014/main" id="{C752DC12-61B8-4A56-934B-497E622AA674}"/>
            </a:ext>
          </a:extLst>
        </xdr:cNvPr>
        <xdr:cNvPicPr>
          <a:picLocks noChangeAspect="1" noChangeArrowheads="1"/>
        </xdr:cNvPicPr>
      </xdr:nvPicPr>
      <xdr:blipFill rotWithShape="1">
        <a:blip xmlns:r="http://schemas.openxmlformats.org/officeDocument/2006/relationships" r:embed="rId1" cstate="print"/>
        <a:srcRect l="6494" t="16767" r="5844" b="16767"/>
        <a:stretch/>
      </xdr:blipFill>
      <xdr:spPr bwMode="auto">
        <a:xfrm>
          <a:off x="24849" y="0"/>
          <a:ext cx="720587" cy="6129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sondesvignerons66.fr/" TargetMode="External"/><Relationship Id="rId1" Type="http://schemas.openxmlformats.org/officeDocument/2006/relationships/hyperlink" Target="https://www.maisondesvignerons66.fr/accueil/infoidx"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75C89-0E0D-45EF-91B9-E6FD5BDE6899}">
  <dimension ref="B1:K31"/>
  <sheetViews>
    <sheetView showGridLines="0" showRowColHeaders="0" tabSelected="1" workbookViewId="0">
      <selection activeCell="V11" sqref="V11"/>
    </sheetView>
  </sheetViews>
  <sheetFormatPr baseColWidth="10" defaultRowHeight="15" x14ac:dyDescent="0.25"/>
  <cols>
    <col min="2" max="2" width="8.5703125" customWidth="1"/>
  </cols>
  <sheetData>
    <row r="1" spans="2:11" ht="15.75" thickBot="1" x14ac:dyDescent="0.3"/>
    <row r="2" spans="2:11" x14ac:dyDescent="0.25">
      <c r="B2" s="28"/>
      <c r="C2" s="29"/>
      <c r="D2" s="29"/>
      <c r="E2" s="29"/>
      <c r="F2" s="29"/>
      <c r="G2" s="29"/>
      <c r="H2" s="29"/>
      <c r="I2" s="29"/>
      <c r="J2" s="29"/>
      <c r="K2" s="30"/>
    </row>
    <row r="3" spans="2:11" x14ac:dyDescent="0.25">
      <c r="B3" s="31"/>
      <c r="C3" s="32"/>
      <c r="D3" s="32"/>
      <c r="E3" s="32"/>
      <c r="F3" s="32"/>
      <c r="G3" s="32"/>
      <c r="H3" s="32"/>
      <c r="I3" s="32"/>
      <c r="J3" s="32"/>
      <c r="K3" s="33"/>
    </row>
    <row r="4" spans="2:11" ht="26.25" x14ac:dyDescent="0.4">
      <c r="B4" s="52" t="s">
        <v>129</v>
      </c>
      <c r="C4" s="53"/>
      <c r="D4" s="53"/>
      <c r="E4" s="53"/>
      <c r="F4" s="53"/>
      <c r="G4" s="53"/>
      <c r="H4" s="53"/>
      <c r="I4" s="53"/>
      <c r="J4" s="53"/>
      <c r="K4" s="54"/>
    </row>
    <row r="5" spans="2:11" x14ac:dyDescent="0.25">
      <c r="B5" s="31"/>
      <c r="C5" s="32"/>
      <c r="D5" s="32"/>
      <c r="E5" s="32"/>
      <c r="F5" s="32"/>
      <c r="G5" s="32"/>
      <c r="H5" s="32"/>
      <c r="I5" s="32"/>
      <c r="J5" s="32"/>
      <c r="K5" s="33"/>
    </row>
    <row r="6" spans="2:11" x14ac:dyDescent="0.25">
      <c r="B6" s="31"/>
      <c r="C6" s="32"/>
      <c r="D6" s="32"/>
      <c r="E6" s="32"/>
      <c r="F6" s="32"/>
      <c r="G6" s="32"/>
      <c r="H6" s="32"/>
      <c r="I6" s="32"/>
      <c r="J6" s="32"/>
      <c r="K6" s="33"/>
    </row>
    <row r="7" spans="2:11" ht="15.75" x14ac:dyDescent="0.25">
      <c r="B7" s="55" t="s">
        <v>128</v>
      </c>
      <c r="C7" s="56"/>
      <c r="D7" s="56"/>
      <c r="E7" s="56"/>
      <c r="F7" s="56"/>
      <c r="G7" s="37">
        <v>45358</v>
      </c>
      <c r="H7" s="32"/>
      <c r="I7" s="32"/>
      <c r="J7" s="32"/>
      <c r="K7" s="33"/>
    </row>
    <row r="8" spans="2:11" x14ac:dyDescent="0.25">
      <c r="B8" s="31"/>
      <c r="C8" s="32"/>
      <c r="D8" s="32"/>
      <c r="E8" s="32"/>
      <c r="F8" s="32"/>
      <c r="G8" s="32"/>
      <c r="H8" s="32"/>
      <c r="I8" s="32"/>
      <c r="J8" s="32"/>
      <c r="K8" s="33"/>
    </row>
    <row r="9" spans="2:11" ht="15.75" customHeight="1" x14ac:dyDescent="0.25">
      <c r="B9" s="34">
        <v>1</v>
      </c>
      <c r="C9" s="59" t="s">
        <v>107</v>
      </c>
      <c r="D9" s="59"/>
      <c r="E9" s="59"/>
      <c r="F9" s="59"/>
      <c r="G9" s="32"/>
      <c r="H9" s="58" t="s">
        <v>168</v>
      </c>
      <c r="I9" s="58"/>
      <c r="J9" s="58"/>
      <c r="K9" s="33"/>
    </row>
    <row r="10" spans="2:11" ht="15.75" customHeight="1" x14ac:dyDescent="0.25">
      <c r="B10" s="34">
        <v>2</v>
      </c>
      <c r="C10" s="59" t="s">
        <v>109</v>
      </c>
      <c r="D10" s="59"/>
      <c r="E10" s="59"/>
      <c r="F10" s="59"/>
      <c r="G10" s="32"/>
      <c r="H10" s="58"/>
      <c r="I10" s="58"/>
      <c r="J10" s="58"/>
      <c r="K10" s="33"/>
    </row>
    <row r="11" spans="2:11" ht="15.75" customHeight="1" x14ac:dyDescent="0.25">
      <c r="B11" s="34">
        <v>3</v>
      </c>
      <c r="C11" s="59" t="s">
        <v>110</v>
      </c>
      <c r="D11" s="59"/>
      <c r="E11" s="59"/>
      <c r="F11" s="59"/>
      <c r="G11" s="32"/>
      <c r="H11" s="58"/>
      <c r="I11" s="58"/>
      <c r="J11" s="58"/>
      <c r="K11" s="33"/>
    </row>
    <row r="12" spans="2:11" ht="15.75" customHeight="1" x14ac:dyDescent="0.25">
      <c r="B12" s="34">
        <v>4</v>
      </c>
      <c r="C12" s="57" t="s">
        <v>108</v>
      </c>
      <c r="D12" s="57"/>
      <c r="E12" s="57"/>
      <c r="F12" s="57"/>
      <c r="G12" s="32"/>
      <c r="H12" s="58"/>
      <c r="I12" s="58"/>
      <c r="J12" s="58"/>
      <c r="K12" s="33"/>
    </row>
    <row r="13" spans="2:11" ht="15.75" customHeight="1" x14ac:dyDescent="0.25">
      <c r="B13" s="34">
        <v>5</v>
      </c>
      <c r="C13" s="57" t="s">
        <v>111</v>
      </c>
      <c r="D13" s="57"/>
      <c r="E13" s="57"/>
      <c r="F13" s="57"/>
      <c r="G13" s="32"/>
      <c r="H13" s="58"/>
      <c r="I13" s="58"/>
      <c r="J13" s="58"/>
      <c r="K13" s="33"/>
    </row>
    <row r="14" spans="2:11" ht="15.75" customHeight="1" x14ac:dyDescent="0.25">
      <c r="B14" s="34">
        <v>6</v>
      </c>
      <c r="C14" s="57" t="s">
        <v>112</v>
      </c>
      <c r="D14" s="57"/>
      <c r="E14" s="57"/>
      <c r="F14" s="57"/>
      <c r="G14" s="32"/>
      <c r="H14" s="58"/>
      <c r="I14" s="58"/>
      <c r="J14" s="58"/>
      <c r="K14" s="33"/>
    </row>
    <row r="15" spans="2:11" ht="15.75" customHeight="1" x14ac:dyDescent="0.25">
      <c r="B15" s="34">
        <v>7</v>
      </c>
      <c r="C15" s="57" t="s">
        <v>113</v>
      </c>
      <c r="D15" s="57"/>
      <c r="E15" s="57"/>
      <c r="F15" s="57"/>
      <c r="G15" s="32"/>
      <c r="H15" s="58"/>
      <c r="I15" s="58"/>
      <c r="J15" s="58"/>
      <c r="K15" s="33"/>
    </row>
    <row r="16" spans="2:11" ht="15.75" customHeight="1" x14ac:dyDescent="0.25">
      <c r="B16" s="34">
        <v>8</v>
      </c>
      <c r="C16" s="57" t="s">
        <v>114</v>
      </c>
      <c r="D16" s="57"/>
      <c r="E16" s="57"/>
      <c r="F16" s="57"/>
      <c r="G16" s="32"/>
      <c r="H16" s="58"/>
      <c r="I16" s="58"/>
      <c r="J16" s="58"/>
      <c r="K16" s="33"/>
    </row>
    <row r="17" spans="2:11" ht="15.75" customHeight="1" x14ac:dyDescent="0.25">
      <c r="B17" s="34">
        <v>9</v>
      </c>
      <c r="C17" s="57" t="s">
        <v>115</v>
      </c>
      <c r="D17" s="57"/>
      <c r="E17" s="57"/>
      <c r="F17" s="57"/>
      <c r="G17" s="32"/>
      <c r="H17" s="58"/>
      <c r="I17" s="58"/>
      <c r="J17" s="58"/>
      <c r="K17" s="33"/>
    </row>
    <row r="18" spans="2:11" ht="15.75" customHeight="1" x14ac:dyDescent="0.25">
      <c r="B18" s="34">
        <v>10</v>
      </c>
      <c r="C18" s="57" t="s">
        <v>116</v>
      </c>
      <c r="D18" s="57"/>
      <c r="E18" s="57"/>
      <c r="F18" s="57"/>
      <c r="G18" s="32"/>
      <c r="H18" s="63" t="s">
        <v>169</v>
      </c>
      <c r="I18" s="63"/>
      <c r="J18" s="63"/>
      <c r="K18" s="33"/>
    </row>
    <row r="19" spans="2:11" ht="15.75" customHeight="1" x14ac:dyDescent="0.25">
      <c r="B19" s="34">
        <v>11</v>
      </c>
      <c r="C19" s="57" t="s">
        <v>117</v>
      </c>
      <c r="D19" s="57"/>
      <c r="E19" s="57"/>
      <c r="F19" s="57"/>
      <c r="G19" s="32"/>
      <c r="H19" s="45"/>
      <c r="I19" s="45"/>
      <c r="J19" s="45"/>
      <c r="K19" s="33"/>
    </row>
    <row r="20" spans="2:11" ht="15.75" customHeight="1" x14ac:dyDescent="0.25">
      <c r="B20" s="34">
        <v>12</v>
      </c>
      <c r="C20" s="57" t="s">
        <v>118</v>
      </c>
      <c r="D20" s="57"/>
      <c r="E20" s="57"/>
      <c r="F20" s="57"/>
      <c r="G20" s="32"/>
      <c r="H20" s="45"/>
      <c r="I20" s="45"/>
      <c r="J20" s="45"/>
      <c r="K20" s="33"/>
    </row>
    <row r="21" spans="2:11" ht="15.75" customHeight="1" x14ac:dyDescent="0.25">
      <c r="B21" s="34">
        <v>13</v>
      </c>
      <c r="C21" s="57" t="s">
        <v>119</v>
      </c>
      <c r="D21" s="57"/>
      <c r="E21" s="57"/>
      <c r="F21" s="57"/>
      <c r="G21" s="32"/>
      <c r="H21" s="45"/>
      <c r="I21" s="45"/>
      <c r="J21" s="45"/>
      <c r="K21" s="33"/>
    </row>
    <row r="22" spans="2:11" ht="15.75" customHeight="1" x14ac:dyDescent="0.25">
      <c r="B22" s="34">
        <v>14</v>
      </c>
      <c r="C22" s="57" t="s">
        <v>120</v>
      </c>
      <c r="D22" s="57"/>
      <c r="E22" s="57"/>
      <c r="F22" s="57"/>
      <c r="G22" s="32"/>
      <c r="H22" s="45"/>
      <c r="I22" s="45"/>
      <c r="J22" s="45"/>
      <c r="K22" s="33"/>
    </row>
    <row r="23" spans="2:11" ht="15.75" customHeight="1" x14ac:dyDescent="0.25">
      <c r="B23" s="34">
        <v>15</v>
      </c>
      <c r="C23" s="57" t="s">
        <v>121</v>
      </c>
      <c r="D23" s="57"/>
      <c r="E23" s="57"/>
      <c r="F23" s="57"/>
      <c r="G23" s="32"/>
      <c r="H23" s="45"/>
      <c r="I23" s="45"/>
      <c r="J23" s="45"/>
      <c r="K23" s="33"/>
    </row>
    <row r="24" spans="2:11" x14ac:dyDescent="0.25">
      <c r="B24" s="31"/>
      <c r="C24" s="32"/>
      <c r="D24" s="32"/>
      <c r="E24" s="32"/>
      <c r="F24" s="32"/>
      <c r="G24" s="32"/>
      <c r="H24" s="32"/>
      <c r="I24" s="32"/>
      <c r="J24" s="32"/>
      <c r="K24" s="33"/>
    </row>
    <row r="25" spans="2:11" ht="15.75" x14ac:dyDescent="0.25">
      <c r="B25" s="34" t="s">
        <v>124</v>
      </c>
      <c r="C25" s="32"/>
      <c r="D25" s="32"/>
      <c r="E25" s="32"/>
      <c r="F25" s="32"/>
      <c r="G25" s="32"/>
      <c r="H25" s="32"/>
      <c r="I25" s="32"/>
      <c r="J25" s="32"/>
      <c r="K25" s="33"/>
    </row>
    <row r="26" spans="2:11" ht="15.75" x14ac:dyDescent="0.25">
      <c r="B26" s="35" t="s">
        <v>123</v>
      </c>
      <c r="C26" s="32"/>
      <c r="D26" s="32"/>
      <c r="E26" s="32"/>
      <c r="F26" s="32"/>
      <c r="G26" s="32"/>
      <c r="H26" s="32"/>
      <c r="I26" s="32"/>
      <c r="J26" s="32"/>
      <c r="K26" s="33"/>
    </row>
    <row r="27" spans="2:11" ht="81" customHeight="1" x14ac:dyDescent="0.25">
      <c r="B27" s="31"/>
      <c r="C27" s="60" t="s">
        <v>171</v>
      </c>
      <c r="D27" s="60"/>
      <c r="E27" s="60"/>
      <c r="F27" s="60"/>
      <c r="G27" s="60"/>
      <c r="H27" s="60"/>
      <c r="I27" s="60"/>
      <c r="J27" s="60"/>
      <c r="K27" s="67"/>
    </row>
    <row r="28" spans="2:11" ht="15.75" x14ac:dyDescent="0.25">
      <c r="B28" s="31"/>
      <c r="C28" s="60" t="s">
        <v>125</v>
      </c>
      <c r="D28" s="61"/>
      <c r="E28" s="61"/>
      <c r="F28" s="61"/>
      <c r="G28" s="61"/>
      <c r="H28" s="61"/>
      <c r="I28" s="61"/>
      <c r="J28" s="61"/>
      <c r="K28" s="62"/>
    </row>
    <row r="29" spans="2:11" ht="31.5" customHeight="1" x14ac:dyDescent="0.25">
      <c r="B29" s="31"/>
      <c r="C29" s="60" t="s">
        <v>126</v>
      </c>
      <c r="D29" s="60"/>
      <c r="E29" s="60"/>
      <c r="F29" s="60"/>
      <c r="G29" s="60"/>
      <c r="H29" s="60"/>
      <c r="I29" s="60"/>
      <c r="J29" s="60"/>
      <c r="K29" s="67"/>
    </row>
    <row r="30" spans="2:11" ht="31.5" customHeight="1" x14ac:dyDescent="0.25">
      <c r="B30" s="31"/>
      <c r="C30" s="60" t="s">
        <v>127</v>
      </c>
      <c r="D30" s="60"/>
      <c r="E30" s="60"/>
      <c r="F30" s="60"/>
      <c r="G30" s="60"/>
      <c r="H30" s="60"/>
      <c r="I30" s="60"/>
      <c r="J30" s="60"/>
      <c r="K30" s="67"/>
    </row>
    <row r="31" spans="2:11" ht="31.5" customHeight="1" thickBot="1" x14ac:dyDescent="0.3">
      <c r="B31" s="64" t="s">
        <v>131</v>
      </c>
      <c r="C31" s="65"/>
      <c r="D31" s="65"/>
      <c r="E31" s="65"/>
      <c r="F31" s="65"/>
      <c r="G31" s="65"/>
      <c r="H31" s="65"/>
      <c r="I31" s="65"/>
      <c r="J31" s="65"/>
      <c r="K31" s="66"/>
    </row>
  </sheetData>
  <sheetProtection algorithmName="SHA-512" hashValue="XRmm+jT98M0F+OYEGtzyFIXxYyqlXBYZM03rtudIyc8CAQ8Woqxwcfu44OrQuFhSdwjxM1PdBPpz36P8nySOXA==" saltValue="wPTLora4akQCm4rBoObpQg==" spinCount="100000" sheet="1" objects="1" scenarios="1"/>
  <mergeCells count="24">
    <mergeCell ref="B31:K31"/>
    <mergeCell ref="C20:F20"/>
    <mergeCell ref="C21:F21"/>
    <mergeCell ref="C22:F22"/>
    <mergeCell ref="C23:F23"/>
    <mergeCell ref="C27:K27"/>
    <mergeCell ref="C29:K29"/>
    <mergeCell ref="C30:K30"/>
    <mergeCell ref="C19:F19"/>
    <mergeCell ref="C9:F9"/>
    <mergeCell ref="C10:F10"/>
    <mergeCell ref="C11:F11"/>
    <mergeCell ref="C28:K28"/>
    <mergeCell ref="H18:J18"/>
    <mergeCell ref="C14:F14"/>
    <mergeCell ref="C15:F15"/>
    <mergeCell ref="C16:F16"/>
    <mergeCell ref="C17:F17"/>
    <mergeCell ref="C18:F18"/>
    <mergeCell ref="B4:K4"/>
    <mergeCell ref="B7:F7"/>
    <mergeCell ref="C12:F12"/>
    <mergeCell ref="C13:F13"/>
    <mergeCell ref="H9:J17"/>
  </mergeCells>
  <hyperlinks>
    <hyperlink ref="C9" location="'CR Rouge'!A1" display="Côtes du Roussillon Rouge" xr:uid="{F75E4E1B-7230-4A91-A432-6C2F0A149F39}"/>
    <hyperlink ref="C10" location="'CR Rosé'!A1" display="Côtes du Roussillon Rosé" xr:uid="{12A137BB-9904-4E8C-942D-326D1721FDDB}"/>
    <hyperlink ref="C11" location="'CR Blanc'!A1" display="Côtes du Roussillon Blanc" xr:uid="{F1846FDD-4AF1-4F64-AC35-D19DC1CCD81A}"/>
    <hyperlink ref="C12:F12" location="'CR Villages'!A1" display="Côtes du Roussillon Villages" xr:uid="{3E9055F5-829B-4E84-8FFC-602D5D91D1FB}"/>
    <hyperlink ref="C13:F13" location="'CR Villages Les Aspres'!A1" display="Côtes du Roussillon Villages Les Aspres" xr:uid="{C4CF54C8-0999-4E9C-A97E-EB8F9B241069}"/>
    <hyperlink ref="C14:F14" location="'CRV LATOUR DE FRANCE'!A1" display="Côtes du Roussillon Villages Latour de France" xr:uid="{8870E409-EA50-4389-8B80-A6C89B0877E1}"/>
    <hyperlink ref="C15:F15" location="'CRV CARAMANY'!A1" display="Côtes du Roussillon Villages Caramany" xr:uid="{0279DA87-9851-4725-A6A6-C9638764088B}"/>
    <hyperlink ref="C16:F16" location="'CRV LESQUERDE'!A1" display="Côtes du Roussillon Villages Lesquerde" xr:uid="{780D0339-9042-4F4F-B1B5-7914C9D178E0}"/>
    <hyperlink ref="C17:F17" location="'CRV TAUTAVEL'!A1" display="Côtes du Roussillon Villages Tautavel" xr:uid="{7A258183-7D5A-475F-A38F-DD97E3486E41}"/>
    <hyperlink ref="C18:F18" location="'MAURY SEC'!A1" display="Maury Sec" xr:uid="{2A35A04B-8BDB-4C26-BC47-CBEAF331080B}"/>
    <hyperlink ref="C19:F19" location="'MAURY Grenat ou Tuilé'!A1" display="Maury Grenat ou tuilé" xr:uid="{6934223B-0A74-44A5-802E-EEC54C266224}"/>
    <hyperlink ref="C20:F20" location="'MAURY Ambré ou Blanc'!A1" display="Maury Ambré ou Blanc" xr:uid="{DB916C7E-B16D-4239-93CD-BAFFAFF4FCE7}"/>
    <hyperlink ref="C21:F21" location="'Muscat de Riv.'!A1" display="Muscat de Rivesaltes" xr:uid="{53380275-6998-4973-97A7-A2F031D49CCC}"/>
    <hyperlink ref="C22:F22" location="'Rivesaltes Ambré, Rosé ou Tuilé'!A1" display="Rivesaltes Ambé, Rosé ou Tuilé" xr:uid="{0F2FFF46-FFB2-4D8B-8C6C-7B25D9F6FAA7}"/>
    <hyperlink ref="C23:F23" location="'Rivesaltes Grenat'!A1" display="Rivesaltes Grenat" xr:uid="{C4B6D524-EC3C-40AF-940D-DE9FD29CDDCD}"/>
    <hyperlink ref="H18:J18" r:id="rId1" display="www.maisondesvignerons66.fr" xr:uid="{CA85368D-2710-4E8E-9D1D-0A1775EDA6B7}"/>
    <hyperlink ref="H18" r:id="rId2" xr:uid="{29D9AB32-62B7-4158-A275-B59CCA51A5AE}"/>
  </hyperlinks>
  <pageMargins left="0.7" right="0.7" top="0.75" bottom="0.75" header="0.3" footer="0.3"/>
  <pageSetup paperSize="9" orientation="portrait" verticalDpi="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R34"/>
  <sheetViews>
    <sheetView showGridLines="0" showRowColHeaders="0" zoomScale="115" zoomScaleNormal="115" workbookViewId="0">
      <selection activeCell="O10" sqref="O10:R10"/>
    </sheetView>
  </sheetViews>
  <sheetFormatPr baseColWidth="10" defaultRowHeight="15" x14ac:dyDescent="0.25"/>
  <cols>
    <col min="2" max="2" width="20.28515625" customWidth="1"/>
    <col min="3" max="3" width="13.42578125" customWidth="1"/>
    <col min="6" max="8" width="0" hidden="1" customWidth="1"/>
    <col min="9" max="9" width="5" style="39"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150</v>
      </c>
      <c r="C2" s="74"/>
      <c r="D2" s="74"/>
      <c r="E2" s="74"/>
      <c r="N2" s="92" t="s">
        <v>170</v>
      </c>
      <c r="O2" s="93"/>
      <c r="P2" s="93"/>
      <c r="Q2" s="93"/>
      <c r="R2" s="94"/>
    </row>
    <row r="3" spans="2:18" ht="18.75" x14ac:dyDescent="0.25">
      <c r="B3" s="75"/>
      <c r="C3" s="75"/>
      <c r="D3" s="75"/>
      <c r="E3" s="75"/>
      <c r="J3" s="72" t="s">
        <v>122</v>
      </c>
      <c r="K3" s="73"/>
      <c r="N3" s="50">
        <v>1</v>
      </c>
      <c r="O3" s="97" t="s">
        <v>107</v>
      </c>
      <c r="P3" s="97"/>
      <c r="Q3" s="97"/>
      <c r="R3" s="98"/>
    </row>
    <row r="4" spans="2:18" ht="30.75" customHeight="1" thickBot="1" x14ac:dyDescent="0.3">
      <c r="B4" s="15" t="s">
        <v>7</v>
      </c>
      <c r="C4" s="16" t="s">
        <v>141</v>
      </c>
      <c r="D4" s="15" t="s">
        <v>8</v>
      </c>
      <c r="E4" s="15" t="s">
        <v>9</v>
      </c>
      <c r="F4" t="s">
        <v>43</v>
      </c>
      <c r="G4" s="1" t="s">
        <v>13</v>
      </c>
      <c r="H4" s="1" t="s">
        <v>64</v>
      </c>
      <c r="N4" s="50">
        <v>2</v>
      </c>
      <c r="O4" s="97" t="s">
        <v>109</v>
      </c>
      <c r="P4" s="97"/>
      <c r="Q4" s="97"/>
      <c r="R4" s="98"/>
    </row>
    <row r="5" spans="2:18" x14ac:dyDescent="0.25">
      <c r="B5" s="36" t="s">
        <v>0</v>
      </c>
      <c r="C5" s="5" t="s">
        <v>11</v>
      </c>
      <c r="D5" s="14">
        <v>1.3261000000000001</v>
      </c>
      <c r="E5" s="8">
        <f>D5*100/D10</f>
        <v>13.664090674909842</v>
      </c>
      <c r="F5" s="4">
        <f>ROUND(E5,2)</f>
        <v>13.66</v>
      </c>
      <c r="G5">
        <f>IF(C5="P",F5,0)</f>
        <v>13.66</v>
      </c>
      <c r="H5">
        <f>IF(C5="C",E5,0)</f>
        <v>0</v>
      </c>
      <c r="J5" s="83" t="str">
        <f>IF(I13=0,"Encépagement conforme aux règles du Cahier des Charges","Encépagement NON conforme aux règles du Cahier des Charges")</f>
        <v>Encépagement conforme aux règles du Cahier des Charges</v>
      </c>
      <c r="K5" s="84"/>
      <c r="N5" s="50">
        <v>3</v>
      </c>
      <c r="O5" s="97" t="s">
        <v>110</v>
      </c>
      <c r="P5" s="97"/>
      <c r="Q5" s="97"/>
      <c r="R5" s="98"/>
    </row>
    <row r="6" spans="2:18" x14ac:dyDescent="0.25">
      <c r="B6" s="36" t="s">
        <v>1</v>
      </c>
      <c r="C6" s="5" t="s">
        <v>11</v>
      </c>
      <c r="D6" s="14">
        <v>4.5490000000000004</v>
      </c>
      <c r="E6" s="8">
        <f>D6*100/D10</f>
        <v>46.872746007212783</v>
      </c>
      <c r="F6" s="4">
        <f>ROUND(E6,2)</f>
        <v>46.87</v>
      </c>
      <c r="G6">
        <f t="shared" ref="G6:G9" si="0">IF(C6="P",F6,0)</f>
        <v>46.87</v>
      </c>
      <c r="H6">
        <f t="shared" ref="H6:H9" si="1">IF(C6="C",E6,0)</f>
        <v>0</v>
      </c>
      <c r="J6" s="85"/>
      <c r="K6" s="86"/>
      <c r="N6" s="50">
        <v>4</v>
      </c>
      <c r="O6" s="99" t="s">
        <v>108</v>
      </c>
      <c r="P6" s="99"/>
      <c r="Q6" s="99"/>
      <c r="R6" s="100"/>
    </row>
    <row r="7" spans="2:18" x14ac:dyDescent="0.25">
      <c r="B7" s="36" t="s">
        <v>2</v>
      </c>
      <c r="C7" s="5" t="s">
        <v>11</v>
      </c>
      <c r="D7" s="14"/>
      <c r="E7" s="8">
        <f>D7*100/D10</f>
        <v>0</v>
      </c>
      <c r="F7" s="4">
        <f t="shared" ref="F7:F9" si="2">ROUND(E7,2)</f>
        <v>0</v>
      </c>
      <c r="G7">
        <f t="shared" si="0"/>
        <v>0</v>
      </c>
      <c r="H7">
        <f t="shared" si="1"/>
        <v>0</v>
      </c>
      <c r="J7" s="85"/>
      <c r="K7" s="86"/>
      <c r="N7" s="50">
        <v>5</v>
      </c>
      <c r="O7" s="99" t="s">
        <v>111</v>
      </c>
      <c r="P7" s="99"/>
      <c r="Q7" s="99"/>
      <c r="R7" s="100"/>
    </row>
    <row r="8" spans="2:18" x14ac:dyDescent="0.25">
      <c r="B8" s="36" t="s">
        <v>3</v>
      </c>
      <c r="C8" s="5" t="s">
        <v>11</v>
      </c>
      <c r="D8" s="14">
        <v>3.8298999999999999</v>
      </c>
      <c r="E8" s="8">
        <f>D8*100/D10</f>
        <v>39.463163317877381</v>
      </c>
      <c r="F8" s="4">
        <f t="shared" si="2"/>
        <v>39.46</v>
      </c>
      <c r="G8">
        <f t="shared" si="0"/>
        <v>39.46</v>
      </c>
      <c r="H8">
        <f t="shared" si="1"/>
        <v>0</v>
      </c>
      <c r="J8" s="85"/>
      <c r="K8" s="86"/>
      <c r="N8" s="50">
        <v>6</v>
      </c>
      <c r="O8" s="99" t="s">
        <v>112</v>
      </c>
      <c r="P8" s="99"/>
      <c r="Q8" s="99"/>
      <c r="R8" s="100"/>
    </row>
    <row r="9" spans="2:18" ht="15.75" thickBot="1" x14ac:dyDescent="0.3">
      <c r="B9" s="36" t="s">
        <v>5</v>
      </c>
      <c r="C9" s="5" t="s">
        <v>22</v>
      </c>
      <c r="D9" s="14"/>
      <c r="E9" s="8">
        <f>D9*100/D10</f>
        <v>0</v>
      </c>
      <c r="F9" s="4">
        <f t="shared" si="2"/>
        <v>0</v>
      </c>
      <c r="G9">
        <f t="shared" si="0"/>
        <v>0</v>
      </c>
      <c r="H9">
        <f t="shared" si="1"/>
        <v>0</v>
      </c>
      <c r="J9" s="87"/>
      <c r="K9" s="88"/>
      <c r="N9" s="50">
        <v>7</v>
      </c>
      <c r="O9" s="99" t="s">
        <v>113</v>
      </c>
      <c r="P9" s="99"/>
      <c r="Q9" s="99"/>
      <c r="R9" s="100"/>
    </row>
    <row r="10" spans="2:18" x14ac:dyDescent="0.25">
      <c r="B10" s="81" t="s">
        <v>10</v>
      </c>
      <c r="C10" s="82"/>
      <c r="D10" s="12">
        <f>SUM(D5:D9)</f>
        <v>9.7050000000000001</v>
      </c>
      <c r="E10" s="20">
        <f>SUM(E5:E9)</f>
        <v>100</v>
      </c>
      <c r="F10">
        <f>SUM(F5:F9)</f>
        <v>99.990000000000009</v>
      </c>
      <c r="G10">
        <f>SUM(G5:G9)</f>
        <v>99.990000000000009</v>
      </c>
      <c r="H10">
        <f>SUM(H5:H9)</f>
        <v>0</v>
      </c>
      <c r="N10" s="50">
        <v>8</v>
      </c>
      <c r="O10" s="99" t="s">
        <v>114</v>
      </c>
      <c r="P10" s="99"/>
      <c r="Q10" s="99"/>
      <c r="R10" s="100"/>
    </row>
    <row r="11" spans="2:18" x14ac:dyDescent="0.25">
      <c r="D11" s="38">
        <f>COUNT(D5:D9)</f>
        <v>3</v>
      </c>
      <c r="F11">
        <f>MAX(F5:F9)</f>
        <v>46.87</v>
      </c>
      <c r="N11" s="50">
        <v>9</v>
      </c>
      <c r="O11" s="99" t="s">
        <v>115</v>
      </c>
      <c r="P11" s="99"/>
      <c r="Q11" s="99"/>
      <c r="R11" s="100"/>
    </row>
    <row r="12" spans="2:18" ht="15.75" thickBot="1" x14ac:dyDescent="0.3">
      <c r="J12" s="91" t="s">
        <v>102</v>
      </c>
      <c r="K12" s="91"/>
      <c r="L12" s="25">
        <f>D8+D7</f>
        <v>3.8298999999999999</v>
      </c>
      <c r="N12" s="50">
        <v>10</v>
      </c>
      <c r="O12" s="99" t="s">
        <v>116</v>
      </c>
      <c r="P12" s="99"/>
      <c r="Q12" s="99"/>
      <c r="R12" s="100"/>
    </row>
    <row r="13" spans="2:18" ht="16.5" thickBot="1" x14ac:dyDescent="0.3">
      <c r="B13" s="78" t="s">
        <v>71</v>
      </c>
      <c r="C13" s="79"/>
      <c r="D13" s="79"/>
      <c r="E13" s="80"/>
      <c r="I13" s="38">
        <f>SUM(I14:I20)</f>
        <v>0</v>
      </c>
      <c r="J13" s="91" t="s">
        <v>138</v>
      </c>
      <c r="K13" s="91"/>
      <c r="L13" s="25">
        <f>(L12*100)/30</f>
        <v>12.766333333333334</v>
      </c>
      <c r="N13" s="50">
        <v>11</v>
      </c>
      <c r="O13" s="99" t="s">
        <v>117</v>
      </c>
      <c r="P13" s="99"/>
      <c r="Q13" s="99"/>
      <c r="R13" s="100"/>
    </row>
    <row r="14" spans="2:18" x14ac:dyDescent="0.25">
      <c r="B14" s="101" t="s">
        <v>93</v>
      </c>
      <c r="C14" s="102"/>
      <c r="D14" s="102"/>
      <c r="E14" s="19" t="str">
        <f>D28</f>
        <v>conforme</v>
      </c>
      <c r="I14" s="18">
        <f>IF(E14="conforme",0,1)</f>
        <v>0</v>
      </c>
      <c r="N14" s="50">
        <v>12</v>
      </c>
      <c r="O14" s="99" t="s">
        <v>118</v>
      </c>
      <c r="P14" s="99"/>
      <c r="Q14" s="99"/>
      <c r="R14" s="100"/>
    </row>
    <row r="15" spans="2:18" ht="31.5" customHeight="1" x14ac:dyDescent="0.25">
      <c r="B15" s="76" t="s">
        <v>145</v>
      </c>
      <c r="C15" s="77"/>
      <c r="D15" s="77"/>
      <c r="E15" s="24" t="str">
        <f>G29</f>
        <v>conforme</v>
      </c>
      <c r="I15" s="18">
        <f t="shared" ref="I15:I20" si="3">IF(E15="conforme",0,1)</f>
        <v>0</v>
      </c>
      <c r="J15" s="91" t="s">
        <v>103</v>
      </c>
      <c r="K15" s="91"/>
      <c r="L15" s="27">
        <f>(E8+E5+E6+E7)/100</f>
        <v>1</v>
      </c>
      <c r="N15" s="50">
        <v>13</v>
      </c>
      <c r="O15" s="99" t="s">
        <v>119</v>
      </c>
      <c r="P15" s="99"/>
      <c r="Q15" s="99"/>
      <c r="R15" s="100"/>
    </row>
    <row r="16" spans="2:18" x14ac:dyDescent="0.25">
      <c r="B16" s="76" t="s">
        <v>146</v>
      </c>
      <c r="C16" s="77"/>
      <c r="D16" s="77"/>
      <c r="E16" s="10" t="str">
        <f>H30</f>
        <v>conforme</v>
      </c>
      <c r="I16" s="18">
        <f t="shared" si="3"/>
        <v>0</v>
      </c>
      <c r="J16" s="91" t="s">
        <v>105</v>
      </c>
      <c r="K16" s="91"/>
      <c r="L16" s="26">
        <f>(E9)/100</f>
        <v>0</v>
      </c>
      <c r="N16" s="50">
        <v>14</v>
      </c>
      <c r="O16" s="99" t="s">
        <v>120</v>
      </c>
      <c r="P16" s="99"/>
      <c r="Q16" s="99"/>
      <c r="R16" s="100"/>
    </row>
    <row r="17" spans="2:18" ht="15.75" thickBot="1" x14ac:dyDescent="0.3">
      <c r="B17" s="68" t="s">
        <v>83</v>
      </c>
      <c r="C17" s="69"/>
      <c r="D17" s="69"/>
      <c r="E17" s="10" t="str">
        <f>F31</f>
        <v>conforme</v>
      </c>
      <c r="I17" s="18">
        <f t="shared" si="3"/>
        <v>0</v>
      </c>
      <c r="N17" s="51">
        <v>15</v>
      </c>
      <c r="O17" s="95" t="s">
        <v>121</v>
      </c>
      <c r="P17" s="95"/>
      <c r="Q17" s="95"/>
      <c r="R17" s="96"/>
    </row>
    <row r="18" spans="2:18" x14ac:dyDescent="0.25">
      <c r="B18" s="68" t="s">
        <v>147</v>
      </c>
      <c r="C18" s="69"/>
      <c r="D18" s="69"/>
      <c r="E18" s="10" t="str">
        <f>E32</f>
        <v>conforme</v>
      </c>
      <c r="I18" s="18">
        <f t="shared" si="3"/>
        <v>0</v>
      </c>
    </row>
    <row r="19" spans="2:18" x14ac:dyDescent="0.25">
      <c r="B19" s="68" t="s">
        <v>148</v>
      </c>
      <c r="C19" s="69"/>
      <c r="D19" s="69"/>
      <c r="E19" s="40" t="str">
        <f>E33</f>
        <v>conforme</v>
      </c>
      <c r="I19" s="18">
        <f t="shared" si="3"/>
        <v>0</v>
      </c>
    </row>
    <row r="20" spans="2:18" ht="15.75" thickBot="1" x14ac:dyDescent="0.3">
      <c r="B20" s="70" t="s">
        <v>149</v>
      </c>
      <c r="C20" s="71"/>
      <c r="D20" s="71"/>
      <c r="E20" s="11" t="str">
        <f>E34</f>
        <v>conforme</v>
      </c>
      <c r="I20" s="18">
        <f t="shared" si="3"/>
        <v>0</v>
      </c>
    </row>
    <row r="22" spans="2:18" x14ac:dyDescent="0.25">
      <c r="B22" t="s">
        <v>78</v>
      </c>
    </row>
    <row r="23" spans="2:18" x14ac:dyDescent="0.25">
      <c r="B23" t="s">
        <v>80</v>
      </c>
    </row>
    <row r="24" spans="2:18" x14ac:dyDescent="0.25">
      <c r="B24" t="s">
        <v>79</v>
      </c>
    </row>
    <row r="25" spans="2:18" x14ac:dyDescent="0.25">
      <c r="B25" t="str">
        <f>"* Potentiel calculé sur la base de la règle la plus limitante ("&amp;J12&amp;"), sans préjuger de l'encépagement restant sur l'exploitation."</f>
        <v>* Potentiel calculé sur la base de la règle la plus limitante (Surface Sy/Mrvd : ), sans préjuger de l'encépagement restant sur l'exploitation.</v>
      </c>
    </row>
    <row r="28" spans="2:18" hidden="1" x14ac:dyDescent="0.25">
      <c r="B28" t="s">
        <v>16</v>
      </c>
      <c r="D28" t="str">
        <f>IF(D11&gt;=2,"conforme","anomalie" )</f>
        <v>conforme</v>
      </c>
    </row>
    <row r="29" spans="2:18" ht="75" hidden="1" x14ac:dyDescent="0.25">
      <c r="B29" s="1" t="s">
        <v>62</v>
      </c>
      <c r="G29" t="str">
        <f>IF(G10&gt;=80,"conforme","anomalie")</f>
        <v>conforme</v>
      </c>
    </row>
    <row r="30" spans="2:18" ht="60" hidden="1" x14ac:dyDescent="0.25">
      <c r="B30" s="1" t="s">
        <v>69</v>
      </c>
      <c r="H30" t="str">
        <f>IF(H10&lt;=20,"conforme","anomalie")</f>
        <v>conforme</v>
      </c>
    </row>
    <row r="31" spans="2:18" hidden="1" x14ac:dyDescent="0.25">
      <c r="B31" t="s">
        <v>15</v>
      </c>
      <c r="F31" t="str">
        <f>IF(F11&lt;=70,"conforme","anomalie")</f>
        <v>conforme</v>
      </c>
    </row>
    <row r="32" spans="2:18" hidden="1" x14ac:dyDescent="0.25">
      <c r="B32" t="s">
        <v>17</v>
      </c>
      <c r="E32" t="str">
        <f>IF(E5&lt;=50,"conforme","anomalie" )</f>
        <v>conforme</v>
      </c>
    </row>
    <row r="33" spans="2:5" hidden="1" x14ac:dyDescent="0.25">
      <c r="B33" t="s">
        <v>37</v>
      </c>
      <c r="E33" t="str">
        <f>IF(E7+E8&gt;=30,"conforme","anomalie" )</f>
        <v>conforme</v>
      </c>
    </row>
    <row r="34" spans="2:5" hidden="1" x14ac:dyDescent="0.25">
      <c r="B34" t="s">
        <v>40</v>
      </c>
      <c r="E34" t="str">
        <f>IF(E6+E9&gt;=20,"conforme","anomalie" )</f>
        <v>conforme</v>
      </c>
    </row>
  </sheetData>
  <sheetProtection algorithmName="SHA-512" hashValue="OB2vVQR+Id+o4zMVFlHcKJR8yvZatGFcPINSihTzXjJzqDBTLOS6pwpt9VlO8p4PfUswdwGDS9yoAgPYywncJw==" saltValue="kGQ63yEFXzwXAVkCNiXNtQ==" spinCount="100000" sheet="1" objects="1" scenarios="1"/>
  <mergeCells count="32">
    <mergeCell ref="O17:R17"/>
    <mergeCell ref="O12:R12"/>
    <mergeCell ref="O13:R13"/>
    <mergeCell ref="O14:R14"/>
    <mergeCell ref="O15:R15"/>
    <mergeCell ref="O16:R16"/>
    <mergeCell ref="O7:R7"/>
    <mergeCell ref="O8:R8"/>
    <mergeCell ref="O9:R9"/>
    <mergeCell ref="O10:R10"/>
    <mergeCell ref="O11:R11"/>
    <mergeCell ref="N2:R2"/>
    <mergeCell ref="O3:R3"/>
    <mergeCell ref="O4:R4"/>
    <mergeCell ref="O5:R5"/>
    <mergeCell ref="O6:R6"/>
    <mergeCell ref="B18:D18"/>
    <mergeCell ref="B20:D20"/>
    <mergeCell ref="B19:D19"/>
    <mergeCell ref="J3:K3"/>
    <mergeCell ref="J5:K9"/>
    <mergeCell ref="J12:K12"/>
    <mergeCell ref="J13:K13"/>
    <mergeCell ref="J15:K15"/>
    <mergeCell ref="J16:K16"/>
    <mergeCell ref="B2:E3"/>
    <mergeCell ref="B10:C10"/>
    <mergeCell ref="B13:E13"/>
    <mergeCell ref="B14:D14"/>
    <mergeCell ref="B15:D15"/>
    <mergeCell ref="B16:D16"/>
    <mergeCell ref="B17:D17"/>
  </mergeCells>
  <conditionalFormatting sqref="D28">
    <cfRule type="containsText" dxfId="93" priority="25" operator="containsText" text="OK">
      <formula>NOT(ISERROR(SEARCH("OK",D28)))</formula>
    </cfRule>
    <cfRule type="containsText" dxfId="92" priority="26" operator="containsText" text="Non conforme">
      <formula>NOT(ISERROR(SEARCH("Non conforme",D28)))</formula>
    </cfRule>
  </conditionalFormatting>
  <conditionalFormatting sqref="G29:G31">
    <cfRule type="containsText" dxfId="91" priority="23" operator="containsText" text="OK">
      <formula>NOT(ISERROR(SEARCH("OK",G29)))</formula>
    </cfRule>
    <cfRule type="containsText" dxfId="90" priority="24" operator="containsText" text="Non conforme">
      <formula>NOT(ISERROR(SEARCH("Non conforme",G29)))</formula>
    </cfRule>
  </conditionalFormatting>
  <conditionalFormatting sqref="E32:F34">
    <cfRule type="containsText" dxfId="89" priority="21" operator="containsText" text="OK">
      <formula>NOT(ISERROR(SEARCH("OK",E32)))</formula>
    </cfRule>
    <cfRule type="containsText" dxfId="88" priority="22" operator="containsText" text="Non conforme">
      <formula>NOT(ISERROR(SEARCH("Non conforme",E32)))</formula>
    </cfRule>
  </conditionalFormatting>
  <conditionalFormatting sqref="F31">
    <cfRule type="containsText" dxfId="87" priority="19" operator="containsText" text="OK">
      <formula>NOT(ISERROR(SEARCH("OK",F31)))</formula>
    </cfRule>
    <cfRule type="containsText" dxfId="86" priority="20" operator="containsText" text="Non conforme">
      <formula>NOT(ISERROR(SEARCH("Non conforme",F31)))</formula>
    </cfRule>
  </conditionalFormatting>
  <conditionalFormatting sqref="H30">
    <cfRule type="containsText" dxfId="85" priority="17" operator="containsText" text="OK">
      <formula>NOT(ISERROR(SEARCH("OK",H30)))</formula>
    </cfRule>
    <cfRule type="containsText" dxfId="84" priority="18" operator="containsText" text="Non conforme">
      <formula>NOT(ISERROR(SEARCH("Non conforme",H30)))</formula>
    </cfRule>
  </conditionalFormatting>
  <conditionalFormatting sqref="D28:H34">
    <cfRule type="containsText" dxfId="83" priority="15" operator="containsText" text="conforme">
      <formula>NOT(ISERROR(SEARCH("conforme",D28)))</formula>
    </cfRule>
    <cfRule type="containsText" dxfId="82" priority="16" operator="containsText" text="anomalie">
      <formula>NOT(ISERROR(SEARCH("anomalie",D28)))</formula>
    </cfRule>
  </conditionalFormatting>
  <conditionalFormatting sqref="E14:E17">
    <cfRule type="containsText" dxfId="81" priority="11" operator="containsText" text="anomalie">
      <formula>NOT(ISERROR(SEARCH("anomalie",E14)))</formula>
    </cfRule>
    <cfRule type="containsText" dxfId="80" priority="12" operator="containsText" text="conforme">
      <formula>NOT(ISERROR(SEARCH("conforme",E14)))</formula>
    </cfRule>
    <cfRule type="containsText" dxfId="79" priority="13" operator="containsText" text="OK">
      <formula>NOT(ISERROR(SEARCH("OK",E14)))</formula>
    </cfRule>
    <cfRule type="containsText" dxfId="78" priority="14" operator="containsText" text="Non conforme">
      <formula>NOT(ISERROR(SEARCH("Non conforme",E14)))</formula>
    </cfRule>
  </conditionalFormatting>
  <conditionalFormatting sqref="E18:E19">
    <cfRule type="containsText" dxfId="77" priority="7" operator="containsText" text="anomalie">
      <formula>NOT(ISERROR(SEARCH("anomalie",E18)))</formula>
    </cfRule>
    <cfRule type="containsText" dxfId="76" priority="8" operator="containsText" text="conforme">
      <formula>NOT(ISERROR(SEARCH("conforme",E18)))</formula>
    </cfRule>
    <cfRule type="containsText" dxfId="75" priority="9" operator="containsText" text="OK">
      <formula>NOT(ISERROR(SEARCH("OK",E18)))</formula>
    </cfRule>
    <cfRule type="containsText" dxfId="74" priority="10" operator="containsText" text="Non conforme">
      <formula>NOT(ISERROR(SEARCH("Non conforme",E18)))</formula>
    </cfRule>
  </conditionalFormatting>
  <conditionalFormatting sqref="E20">
    <cfRule type="containsText" dxfId="73" priority="3" operator="containsText" text="anomalie">
      <formula>NOT(ISERROR(SEARCH("anomalie",E20)))</formula>
    </cfRule>
    <cfRule type="containsText" dxfId="72" priority="4" operator="containsText" text="conforme">
      <formula>NOT(ISERROR(SEARCH("conforme",E20)))</formula>
    </cfRule>
    <cfRule type="containsText" dxfId="71" priority="5" operator="containsText" text="OK">
      <formula>NOT(ISERROR(SEARCH("OK",E20)))</formula>
    </cfRule>
    <cfRule type="containsText" dxfId="70" priority="6" operator="containsText" text="Non conforme">
      <formula>NOT(ISERROR(SEARCH("Non conforme",E20)))</formula>
    </cfRule>
  </conditionalFormatting>
  <conditionalFormatting sqref="J5:K9">
    <cfRule type="expression" dxfId="69" priority="46">
      <formula>$I$13&gt;0</formula>
    </cfRule>
    <cfRule type="expression" dxfId="68" priority="47">
      <formula>$I$13=0</formula>
    </cfRule>
  </conditionalFormatting>
  <hyperlinks>
    <hyperlink ref="J3" location="'Outil contrôle encépagement'!A1" display="Retour à l'accueil" xr:uid="{FB77A2A3-E138-405E-BEFE-A3870431E882}"/>
    <hyperlink ref="O3" location="'CR Rouge'!A1" display="Côtes du Roussillon Rouge" xr:uid="{1584533D-344F-489C-A10A-059B2737D303}"/>
    <hyperlink ref="O4" location="'CR Rosé'!A1" display="Côtes du Roussillon Rosé" xr:uid="{403E657B-5351-40AB-A27A-90277F32BBD0}"/>
    <hyperlink ref="O5" location="'CR Blanc'!A1" display="Côtes du Roussillon Blanc" xr:uid="{A481B4D7-9E56-448E-8BA0-F0B313B0AEAF}"/>
    <hyperlink ref="O6:R6" location="'CR Villages'!A1" display="Côtes du Roussillon Villages" xr:uid="{B0A47C09-581E-4D3A-B0B5-9C3A4F744957}"/>
    <hyperlink ref="O7:R7" location="'CR Villages Les Aspres'!A1" display="Côtes du Roussillon Villages Les Aspres" xr:uid="{0A3081AC-E856-4D83-BAF4-E72BB77704F9}"/>
    <hyperlink ref="O8:R8" location="'CRV LATOUR DE FRANCE'!A1" display="Côtes du Roussillon Villages Latour de France" xr:uid="{ED52E891-598B-498F-98CC-E51D2EE2B864}"/>
    <hyperlink ref="O9:R9" location="'CRV CARAMANY'!A1" display="Côtes du Roussillon Villages Caramany" xr:uid="{BF9F3B7E-54D4-4145-B982-AC5DD58E167E}"/>
    <hyperlink ref="O10:R10" location="'CRV LESQUERDE'!A1" display="Côtes du Roussillon Villages Lesquerde" xr:uid="{9B965200-44C8-45AF-980F-89D4D4565624}"/>
    <hyperlink ref="O11:R11" location="'CRV TAUTAVEL'!A1" display="Côtes du Roussillon Villages Tautavel" xr:uid="{1F306281-FAFD-4EEF-A13C-67C41817DBCE}"/>
    <hyperlink ref="O12:R12" location="'MAURY SEC'!A1" display="Maury Sec" xr:uid="{DA9F70F9-7DC3-4A1A-94CC-84F1FFFDDDCD}"/>
    <hyperlink ref="O13:R13" location="'MAURY Grenat ou Tuilé'!A1" display="Maury Grenat ou tuilé" xr:uid="{88CDAA3D-A15E-45B2-B37A-7877ECB929C1}"/>
    <hyperlink ref="O14:R14" location="'MAURY Ambré ou Blanc'!A1" display="Maury Ambré ou Blanc" xr:uid="{5D76D5FD-2900-455C-AAC5-4AA5C15E3C5D}"/>
    <hyperlink ref="O15:R15" location="'Muscat de Riv.'!A1" display="Muscat de Rivesaltes" xr:uid="{74A64F74-433C-4106-B640-10A922639D48}"/>
    <hyperlink ref="O16:R16" location="'Rivesaltes Ambré, Rosé ou Tuilé'!A1" display="Rivesaltes Ambé, Rosé ou Tuilé" xr:uid="{98538625-4966-4179-8421-1FD3D83DA9BA}"/>
    <hyperlink ref="O17:R17" location="'Rivesaltes Grenat'!A1" display="Rivesaltes Grenat" xr:uid="{E04E7063-1EA1-4045-8D72-5E37E063B955}"/>
  </hyperlinks>
  <pageMargins left="0.7" right="0.7" top="0.75" bottom="0.75" header="0.3" footer="0.3"/>
  <pageSetup paperSize="9" scale="85"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29"/>
  <sheetViews>
    <sheetView showGridLines="0" showRowColHeaders="0" zoomScale="120" zoomScaleNormal="120" workbookViewId="0">
      <selection activeCell="J3" sqref="J3:K3"/>
    </sheetView>
  </sheetViews>
  <sheetFormatPr baseColWidth="10" defaultRowHeight="15" x14ac:dyDescent="0.25"/>
  <cols>
    <col min="2" max="2" width="14.85546875" customWidth="1"/>
    <col min="3" max="3" width="18.140625" customWidth="1"/>
    <col min="6" max="8" width="0" hidden="1" customWidth="1"/>
    <col min="9" max="9" width="5.85546875"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153</v>
      </c>
      <c r="C2" s="74"/>
      <c r="D2" s="74"/>
      <c r="E2" s="74"/>
      <c r="N2" s="92" t="s">
        <v>170</v>
      </c>
      <c r="O2" s="93"/>
      <c r="P2" s="93"/>
      <c r="Q2" s="93"/>
      <c r="R2" s="94"/>
    </row>
    <row r="3" spans="2:18" ht="18.75" x14ac:dyDescent="0.25">
      <c r="B3" s="75"/>
      <c r="C3" s="75"/>
      <c r="D3" s="75"/>
      <c r="E3" s="75"/>
      <c r="J3" s="72" t="s">
        <v>122</v>
      </c>
      <c r="K3" s="73"/>
      <c r="N3" s="50">
        <v>1</v>
      </c>
      <c r="O3" s="97" t="s">
        <v>107</v>
      </c>
      <c r="P3" s="97"/>
      <c r="Q3" s="97"/>
      <c r="R3" s="98"/>
    </row>
    <row r="4" spans="2:18" ht="47.25" customHeight="1" thickBot="1" x14ac:dyDescent="0.3">
      <c r="B4" s="15" t="s">
        <v>7</v>
      </c>
      <c r="C4" s="41" t="s">
        <v>87</v>
      </c>
      <c r="D4" s="15" t="s">
        <v>8</v>
      </c>
      <c r="E4" s="15" t="s">
        <v>9</v>
      </c>
      <c r="F4" t="s">
        <v>43</v>
      </c>
      <c r="G4" s="1" t="s">
        <v>13</v>
      </c>
      <c r="H4" s="1" t="s">
        <v>14</v>
      </c>
      <c r="N4" s="50">
        <v>2</v>
      </c>
      <c r="O4" s="97" t="s">
        <v>109</v>
      </c>
      <c r="P4" s="97"/>
      <c r="Q4" s="97"/>
      <c r="R4" s="98"/>
    </row>
    <row r="5" spans="2:18" x14ac:dyDescent="0.25">
      <c r="B5" s="36" t="s">
        <v>0</v>
      </c>
      <c r="C5" s="5" t="s">
        <v>22</v>
      </c>
      <c r="D5" s="14"/>
      <c r="E5" s="8">
        <f>D5*100/D10</f>
        <v>0</v>
      </c>
      <c r="F5" s="4">
        <f>ROUND(E5,2)</f>
        <v>0</v>
      </c>
      <c r="G5">
        <f>IF(C5="P",F5,0)</f>
        <v>0</v>
      </c>
      <c r="H5">
        <f>IF(C5="A",F5,0)</f>
        <v>0</v>
      </c>
      <c r="J5" s="83" t="str">
        <f>IF(I13=0,"Encépagement conforme aux règles du Cahier des Charges","Encépagement NON conforme aux règles du Cahier des Charges")</f>
        <v>Encépagement conforme aux règles du Cahier des Charges</v>
      </c>
      <c r="K5" s="84"/>
      <c r="N5" s="50">
        <v>3</v>
      </c>
      <c r="O5" s="97" t="s">
        <v>110</v>
      </c>
      <c r="P5" s="97"/>
      <c r="Q5" s="97"/>
      <c r="R5" s="98"/>
    </row>
    <row r="6" spans="2:18" x14ac:dyDescent="0.25">
      <c r="B6" s="36" t="s">
        <v>1</v>
      </c>
      <c r="C6" s="5" t="s">
        <v>11</v>
      </c>
      <c r="D6" s="14">
        <v>0.7</v>
      </c>
      <c r="E6" s="8">
        <f>D6*100/D10</f>
        <v>63.636363636363633</v>
      </c>
      <c r="F6" s="4">
        <f>ROUND(E6,2)</f>
        <v>63.64</v>
      </c>
      <c r="G6">
        <f t="shared" ref="G6:G9" si="0">IF(C6="P",F6,0)</f>
        <v>63.64</v>
      </c>
      <c r="H6">
        <f t="shared" ref="H6:H9" si="1">IF(C6="A",F6,0)</f>
        <v>0</v>
      </c>
      <c r="J6" s="85"/>
      <c r="K6" s="86"/>
      <c r="N6" s="50">
        <v>4</v>
      </c>
      <c r="O6" s="99" t="s">
        <v>108</v>
      </c>
      <c r="P6" s="99"/>
      <c r="Q6" s="99"/>
      <c r="R6" s="100"/>
    </row>
    <row r="7" spans="2:18" x14ac:dyDescent="0.25">
      <c r="B7" s="36" t="s">
        <v>2</v>
      </c>
      <c r="C7" s="5" t="s">
        <v>22</v>
      </c>
      <c r="D7" s="14"/>
      <c r="E7" s="8">
        <f>D7*100/D10</f>
        <v>0</v>
      </c>
      <c r="F7" s="4">
        <f t="shared" ref="F7:F9" si="2">ROUND(E7,2)</f>
        <v>0</v>
      </c>
      <c r="G7">
        <f t="shared" si="0"/>
        <v>0</v>
      </c>
      <c r="H7">
        <f t="shared" si="1"/>
        <v>0</v>
      </c>
      <c r="J7" s="85"/>
      <c r="K7" s="86"/>
      <c r="N7" s="50">
        <v>5</v>
      </c>
      <c r="O7" s="99" t="s">
        <v>111</v>
      </c>
      <c r="P7" s="99"/>
      <c r="Q7" s="99"/>
      <c r="R7" s="100"/>
    </row>
    <row r="8" spans="2:18" x14ac:dyDescent="0.25">
      <c r="B8" s="36" t="s">
        <v>3</v>
      </c>
      <c r="C8" s="5" t="s">
        <v>22</v>
      </c>
      <c r="D8" s="14">
        <v>0.3</v>
      </c>
      <c r="E8" s="8">
        <f>D8*100/D10</f>
        <v>27.27272727272727</v>
      </c>
      <c r="F8" s="4">
        <f t="shared" si="2"/>
        <v>27.27</v>
      </c>
      <c r="G8">
        <f t="shared" si="0"/>
        <v>0</v>
      </c>
      <c r="H8">
        <f t="shared" si="1"/>
        <v>0</v>
      </c>
      <c r="J8" s="85"/>
      <c r="K8" s="86"/>
      <c r="N8" s="50">
        <v>6</v>
      </c>
      <c r="O8" s="99" t="s">
        <v>112</v>
      </c>
      <c r="P8" s="99"/>
      <c r="Q8" s="99"/>
      <c r="R8" s="100"/>
    </row>
    <row r="9" spans="2:18" ht="15.75" thickBot="1" x14ac:dyDescent="0.3">
      <c r="B9" s="36" t="s">
        <v>5</v>
      </c>
      <c r="C9" s="5" t="s">
        <v>12</v>
      </c>
      <c r="D9" s="14">
        <v>0.1</v>
      </c>
      <c r="E9" s="8">
        <f>D9*100/D10</f>
        <v>9.0909090909090899</v>
      </c>
      <c r="F9" s="4">
        <f t="shared" si="2"/>
        <v>9.09</v>
      </c>
      <c r="G9">
        <f t="shared" si="0"/>
        <v>0</v>
      </c>
      <c r="H9">
        <f t="shared" si="1"/>
        <v>9.09</v>
      </c>
      <c r="J9" s="87"/>
      <c r="K9" s="88"/>
      <c r="N9" s="50">
        <v>7</v>
      </c>
      <c r="O9" s="99" t="s">
        <v>113</v>
      </c>
      <c r="P9" s="99"/>
      <c r="Q9" s="99"/>
      <c r="R9" s="100"/>
    </row>
    <row r="10" spans="2:18" x14ac:dyDescent="0.25">
      <c r="B10" s="81" t="s">
        <v>10</v>
      </c>
      <c r="C10" s="82"/>
      <c r="D10" s="12">
        <f>SUM(D5:D9)</f>
        <v>1.1000000000000001</v>
      </c>
      <c r="E10" s="20">
        <f>SUM(E5:E9)</f>
        <v>100</v>
      </c>
      <c r="F10">
        <f>SUM(F5:F9)</f>
        <v>100</v>
      </c>
      <c r="G10">
        <f>SUM(G5:G9)</f>
        <v>63.64</v>
      </c>
      <c r="H10">
        <f>SUM(H5:H9)</f>
        <v>9.09</v>
      </c>
      <c r="N10" s="50">
        <v>8</v>
      </c>
      <c r="O10" s="99" t="s">
        <v>114</v>
      </c>
      <c r="P10" s="99"/>
      <c r="Q10" s="99"/>
      <c r="R10" s="100"/>
    </row>
    <row r="11" spans="2:18" x14ac:dyDescent="0.25">
      <c r="D11" s="38">
        <f>COUNT(D5:D9)</f>
        <v>3</v>
      </c>
      <c r="G11">
        <f>MAX(G5:G9)</f>
        <v>63.64</v>
      </c>
      <c r="N11" s="50">
        <v>9</v>
      </c>
      <c r="O11" s="99" t="s">
        <v>115</v>
      </c>
      <c r="P11" s="99"/>
      <c r="Q11" s="99"/>
      <c r="R11" s="100"/>
    </row>
    <row r="12" spans="2:18" ht="15.75" thickBot="1" x14ac:dyDescent="0.3">
      <c r="J12" s="91" t="s">
        <v>154</v>
      </c>
      <c r="K12" s="91"/>
      <c r="L12" s="25">
        <f>D6</f>
        <v>0.7</v>
      </c>
      <c r="N12" s="50">
        <v>10</v>
      </c>
      <c r="O12" s="99" t="s">
        <v>116</v>
      </c>
      <c r="P12" s="99"/>
      <c r="Q12" s="99"/>
      <c r="R12" s="100"/>
    </row>
    <row r="13" spans="2:18" ht="16.5" thickBot="1" x14ac:dyDescent="0.3">
      <c r="B13" s="78" t="s">
        <v>71</v>
      </c>
      <c r="C13" s="79"/>
      <c r="D13" s="79"/>
      <c r="E13" s="80"/>
      <c r="I13" s="38">
        <f>SUM(I14:I15)</f>
        <v>0</v>
      </c>
      <c r="J13" s="91" t="s">
        <v>138</v>
      </c>
      <c r="K13" s="91"/>
      <c r="L13" s="25">
        <f>(L12*100)/60</f>
        <v>1.1666666666666667</v>
      </c>
      <c r="N13" s="50">
        <v>11</v>
      </c>
      <c r="O13" s="99" t="s">
        <v>117</v>
      </c>
      <c r="P13" s="99"/>
      <c r="Q13" s="99"/>
      <c r="R13" s="100"/>
    </row>
    <row r="14" spans="2:18" x14ac:dyDescent="0.25">
      <c r="B14" s="101" t="s">
        <v>151</v>
      </c>
      <c r="C14" s="102"/>
      <c r="D14" s="102"/>
      <c r="E14" s="19" t="str">
        <f>E28</f>
        <v>conforme</v>
      </c>
      <c r="I14" s="18">
        <f>IF(E14="conforme",0,1)</f>
        <v>0</v>
      </c>
      <c r="N14" s="50">
        <v>12</v>
      </c>
      <c r="O14" s="99" t="s">
        <v>118</v>
      </c>
      <c r="P14" s="99"/>
      <c r="Q14" s="99"/>
      <c r="R14" s="100"/>
    </row>
    <row r="15" spans="2:18" ht="15.75" thickBot="1" x14ac:dyDescent="0.3">
      <c r="B15" s="70" t="s">
        <v>152</v>
      </c>
      <c r="C15" s="71"/>
      <c r="D15" s="71"/>
      <c r="E15" s="11" t="str">
        <f>E29</f>
        <v>conforme</v>
      </c>
      <c r="I15" s="18">
        <f t="shared" ref="I15" si="3">IF(E15="conforme",0,1)</f>
        <v>0</v>
      </c>
      <c r="J15" s="91" t="s">
        <v>103</v>
      </c>
      <c r="K15" s="91"/>
      <c r="L15" s="27">
        <f>(E6)/100</f>
        <v>0.63636363636363635</v>
      </c>
      <c r="N15" s="50">
        <v>13</v>
      </c>
      <c r="O15" s="99" t="s">
        <v>119</v>
      </c>
      <c r="P15" s="99"/>
      <c r="Q15" s="99"/>
      <c r="R15" s="100"/>
    </row>
    <row r="16" spans="2:18" x14ac:dyDescent="0.25">
      <c r="J16" s="91" t="s">
        <v>105</v>
      </c>
      <c r="K16" s="91"/>
      <c r="L16" s="26">
        <f>(E5+E7+E8)/100</f>
        <v>0.27272727272727271</v>
      </c>
      <c r="N16" s="50">
        <v>14</v>
      </c>
      <c r="O16" s="99" t="s">
        <v>120</v>
      </c>
      <c r="P16" s="99"/>
      <c r="Q16" s="99"/>
      <c r="R16" s="100"/>
    </row>
    <row r="17" spans="2:18" ht="15.75" thickBot="1" x14ac:dyDescent="0.3">
      <c r="N17" s="51">
        <v>15</v>
      </c>
      <c r="O17" s="95" t="s">
        <v>121</v>
      </c>
      <c r="P17" s="95"/>
      <c r="Q17" s="95"/>
      <c r="R17" s="96"/>
    </row>
    <row r="18" spans="2:18" x14ac:dyDescent="0.25">
      <c r="B18" t="s">
        <v>78</v>
      </c>
    </row>
    <row r="19" spans="2:18" x14ac:dyDescent="0.25">
      <c r="B19" t="s">
        <v>80</v>
      </c>
    </row>
    <row r="20" spans="2:18" x14ac:dyDescent="0.25">
      <c r="B20" t="s">
        <v>79</v>
      </c>
    </row>
    <row r="21" spans="2:18" x14ac:dyDescent="0.25">
      <c r="B21" t="str">
        <f>"* Potentiel calculé sur la base de la règle la plus limitante ("&amp;J12&amp;"), sans préjuger de l'encépagement restant sur l'exploitation."</f>
        <v>* Potentiel calculé sur la base de la règle la plus limitante (Surface GN : ), sans préjuger de l'encépagement restant sur l'exploitation.</v>
      </c>
    </row>
    <row r="28" spans="2:18" hidden="1" x14ac:dyDescent="0.25">
      <c r="B28" t="s">
        <v>38</v>
      </c>
      <c r="E28" t="str">
        <f>IF(AND(E6&gt;=60,E6&lt;=80),"conforme","anomalie")</f>
        <v>conforme</v>
      </c>
    </row>
    <row r="29" spans="2:18" hidden="1" x14ac:dyDescent="0.25">
      <c r="B29" t="s">
        <v>39</v>
      </c>
      <c r="E29" t="str">
        <f>IF(E9&lt;=10,"conforme","anomalie" )</f>
        <v>conforme</v>
      </c>
    </row>
  </sheetData>
  <sheetProtection algorithmName="SHA-512" hashValue="nU493n4ginlFnp9CMM7XW1izMFkUEk1Qei+KgBQpv2Lf2/d6OsaoKwAXwS1ugyalc9ZwiLJnpRi/k5TDBvIg6Q==" saltValue="1kjOrRTCip2RpOtXFCWcrw==" spinCount="100000" sheet="1" objects="1" scenarios="1"/>
  <mergeCells count="27">
    <mergeCell ref="O17:R17"/>
    <mergeCell ref="O12:R12"/>
    <mergeCell ref="O13:R13"/>
    <mergeCell ref="O14:R14"/>
    <mergeCell ref="O15:R15"/>
    <mergeCell ref="O16:R16"/>
    <mergeCell ref="O7:R7"/>
    <mergeCell ref="O8:R8"/>
    <mergeCell ref="O9:R9"/>
    <mergeCell ref="O10:R10"/>
    <mergeCell ref="O11:R11"/>
    <mergeCell ref="N2:R2"/>
    <mergeCell ref="O3:R3"/>
    <mergeCell ref="O4:R4"/>
    <mergeCell ref="O5:R5"/>
    <mergeCell ref="O6:R6"/>
    <mergeCell ref="J16:K16"/>
    <mergeCell ref="B2:E3"/>
    <mergeCell ref="B10:C10"/>
    <mergeCell ref="B13:E13"/>
    <mergeCell ref="B14:D14"/>
    <mergeCell ref="B15:D15"/>
    <mergeCell ref="J3:K3"/>
    <mergeCell ref="J5:K9"/>
    <mergeCell ref="J12:K12"/>
    <mergeCell ref="J13:K13"/>
    <mergeCell ref="J15:K15"/>
  </mergeCells>
  <conditionalFormatting sqref="E28:F29">
    <cfRule type="containsText" dxfId="67" priority="17" operator="containsText" text="OK">
      <formula>NOT(ISERROR(SEARCH("OK",E28)))</formula>
    </cfRule>
    <cfRule type="containsText" dxfId="66" priority="18" operator="containsText" text="Non conforme">
      <formula>NOT(ISERROR(SEARCH("Non conforme",E28)))</formula>
    </cfRule>
  </conditionalFormatting>
  <conditionalFormatting sqref="E28:E29">
    <cfRule type="containsText" dxfId="65" priority="15" operator="containsText" text="anomalie">
      <formula>NOT(ISERROR(SEARCH("anomalie",E28)))</formula>
    </cfRule>
    <cfRule type="containsText" dxfId="64" priority="16" operator="containsText" text="conforme">
      <formula>NOT(ISERROR(SEARCH("conforme",E28)))</formula>
    </cfRule>
  </conditionalFormatting>
  <conditionalFormatting sqref="E14">
    <cfRule type="containsText" dxfId="63" priority="11" operator="containsText" text="anomalie">
      <formula>NOT(ISERROR(SEARCH("anomalie",E14)))</formula>
    </cfRule>
    <cfRule type="containsText" dxfId="62" priority="12" operator="containsText" text="conforme">
      <formula>NOT(ISERROR(SEARCH("conforme",E14)))</formula>
    </cfRule>
    <cfRule type="containsText" dxfId="61" priority="13" operator="containsText" text="OK">
      <formula>NOT(ISERROR(SEARCH("OK",E14)))</formula>
    </cfRule>
    <cfRule type="containsText" dxfId="60" priority="14" operator="containsText" text="Non conforme">
      <formula>NOT(ISERROR(SEARCH("Non conforme",E14)))</formula>
    </cfRule>
  </conditionalFormatting>
  <conditionalFormatting sqref="E15">
    <cfRule type="containsText" dxfId="59" priority="3" operator="containsText" text="anomalie">
      <formula>NOT(ISERROR(SEARCH("anomalie",E15)))</formula>
    </cfRule>
    <cfRule type="containsText" dxfId="58" priority="4" operator="containsText" text="conforme">
      <formula>NOT(ISERROR(SEARCH("conforme",E15)))</formula>
    </cfRule>
    <cfRule type="containsText" dxfId="57" priority="5" operator="containsText" text="OK">
      <formula>NOT(ISERROR(SEARCH("OK",E15)))</formula>
    </cfRule>
    <cfRule type="containsText" dxfId="56" priority="6" operator="containsText" text="Non conforme">
      <formula>NOT(ISERROR(SEARCH("Non conforme",E15)))</formula>
    </cfRule>
  </conditionalFormatting>
  <conditionalFormatting sqref="J5:K9">
    <cfRule type="expression" dxfId="55" priority="1">
      <formula>$I$13&gt;0</formula>
    </cfRule>
    <cfRule type="expression" dxfId="54" priority="2">
      <formula>$I$13=0</formula>
    </cfRule>
  </conditionalFormatting>
  <hyperlinks>
    <hyperlink ref="J3" location="'Outil contrôle encépagement'!A1" display="Retour à l'accueil" xr:uid="{33B1CDEE-3904-4510-B786-64217F198743}"/>
    <hyperlink ref="O3" location="'CR Rouge'!A1" display="Côtes du Roussillon Rouge" xr:uid="{63136A5B-84BA-4044-8EC5-5EB4CCCC8ED6}"/>
    <hyperlink ref="O4" location="'CR Rosé'!A1" display="Côtes du Roussillon Rosé" xr:uid="{91EB6D3A-FEF2-4AC6-AB86-47AB8DD7B94B}"/>
    <hyperlink ref="O5" location="'CR Blanc'!A1" display="Côtes du Roussillon Blanc" xr:uid="{6881E122-F776-4A3A-93F4-783759ED35CC}"/>
    <hyperlink ref="O6:R6" location="'CR Villages'!A1" display="Côtes du Roussillon Villages" xr:uid="{F7BF9273-FD04-422A-A23A-156216E5241B}"/>
    <hyperlink ref="O7:R7" location="'CR Villages Les Aspres'!A1" display="Côtes du Roussillon Villages Les Aspres" xr:uid="{9AE1A5D6-6583-44A6-9832-B57794DE4025}"/>
    <hyperlink ref="O8:R8" location="'CRV LATOUR DE FRANCE'!A1" display="Côtes du Roussillon Villages Latour de France" xr:uid="{442B4543-F66A-4856-8D25-A5F49AF42AF5}"/>
    <hyperlink ref="O9:R9" location="'CRV CARAMANY'!A1" display="Côtes du Roussillon Villages Caramany" xr:uid="{C8E6F5AA-B0D1-459D-9C3F-990203F12449}"/>
    <hyperlink ref="O10:R10" location="'CRV LESQUERDE'!A1" display="Côtes du Roussillon Villages Lesquerde" xr:uid="{071FD192-3797-42E7-BD7D-DB5253A37E8E}"/>
    <hyperlink ref="O11:R11" location="'CRV TAUTAVEL'!A1" display="Côtes du Roussillon Villages Tautavel" xr:uid="{CB5C4FB5-768E-4831-A549-185378352417}"/>
    <hyperlink ref="O12:R12" location="'MAURY SEC'!A1" display="Maury Sec" xr:uid="{326A129E-4BC2-4D2D-A1E3-F9BA60048AA6}"/>
    <hyperlink ref="O13:R13" location="'MAURY Grenat ou Tuilé'!A1" display="Maury Grenat ou tuilé" xr:uid="{470EF543-8244-4C5D-A8F1-BCBC6871D003}"/>
    <hyperlink ref="O14:R14" location="'MAURY Ambré ou Blanc'!A1" display="Maury Ambré ou Blanc" xr:uid="{7342DCAF-F078-4F2C-B072-19D5B7FAA8C5}"/>
    <hyperlink ref="O15:R15" location="'Muscat de Riv.'!A1" display="Muscat de Rivesaltes" xr:uid="{7BE7362F-98C8-4DA9-8F40-8393792E708C}"/>
    <hyperlink ref="O16:R16" location="'Rivesaltes Ambré, Rosé ou Tuilé'!A1" display="Rivesaltes Ambé, Rosé ou Tuilé" xr:uid="{11007226-6553-4DD5-ADD8-788CB20E1ECC}"/>
    <hyperlink ref="O17:R17" location="'Rivesaltes Grenat'!A1" display="Rivesaltes Grenat" xr:uid="{6052DF24-9653-4C52-8B1A-1B4DDAC7955E}"/>
  </hyperlink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R23"/>
  <sheetViews>
    <sheetView showGridLines="0" showRowColHeaders="0" zoomScale="120" zoomScaleNormal="120" workbookViewId="0">
      <selection activeCell="O11" sqref="O11:R11"/>
    </sheetView>
  </sheetViews>
  <sheetFormatPr baseColWidth="10" defaultRowHeight="15" x14ac:dyDescent="0.25"/>
  <cols>
    <col min="2" max="2" width="13.28515625" customWidth="1"/>
    <col min="3" max="3" width="18.28515625" customWidth="1"/>
    <col min="6" max="8" width="0" hidden="1" customWidth="1"/>
    <col min="9" max="9" width="5" style="38"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157</v>
      </c>
      <c r="C2" s="74"/>
      <c r="D2" s="74"/>
      <c r="E2" s="74"/>
      <c r="N2" s="92" t="s">
        <v>170</v>
      </c>
      <c r="O2" s="93"/>
      <c r="P2" s="93"/>
      <c r="Q2" s="93"/>
      <c r="R2" s="94"/>
    </row>
    <row r="3" spans="2:18" ht="18.75" x14ac:dyDescent="0.25">
      <c r="B3" s="75"/>
      <c r="C3" s="75"/>
      <c r="D3" s="75"/>
      <c r="E3" s="75"/>
      <c r="J3" s="72" t="s">
        <v>122</v>
      </c>
      <c r="K3" s="73"/>
      <c r="N3" s="50">
        <v>1</v>
      </c>
      <c r="O3" s="97" t="s">
        <v>107</v>
      </c>
      <c r="P3" s="97"/>
      <c r="Q3" s="97"/>
      <c r="R3" s="98"/>
    </row>
    <row r="4" spans="2:18" ht="50.25" customHeight="1" thickBot="1" x14ac:dyDescent="0.3">
      <c r="B4" s="15" t="s">
        <v>7</v>
      </c>
      <c r="C4" s="41" t="s">
        <v>87</v>
      </c>
      <c r="D4" s="15" t="s">
        <v>8</v>
      </c>
      <c r="E4" s="15" t="s">
        <v>9</v>
      </c>
      <c r="F4" t="s">
        <v>43</v>
      </c>
      <c r="G4" s="1" t="s">
        <v>13</v>
      </c>
      <c r="H4" s="1" t="s">
        <v>14</v>
      </c>
      <c r="N4" s="50">
        <v>2</v>
      </c>
      <c r="O4" s="97" t="s">
        <v>109</v>
      </c>
      <c r="P4" s="97"/>
      <c r="Q4" s="97"/>
      <c r="R4" s="98"/>
    </row>
    <row r="5" spans="2:18" x14ac:dyDescent="0.25">
      <c r="B5" s="36" t="s">
        <v>1</v>
      </c>
      <c r="C5" s="5" t="s">
        <v>11</v>
      </c>
      <c r="D5" s="14">
        <v>8</v>
      </c>
      <c r="E5" s="8">
        <f>D5*100/D9</f>
        <v>76.19047619047619</v>
      </c>
      <c r="F5" s="4">
        <f>ROUND(E5,2)</f>
        <v>76.19</v>
      </c>
      <c r="G5">
        <f>IF(C5="P",F5,0)</f>
        <v>76.19</v>
      </c>
      <c r="H5">
        <f>IF(C5="A",F5,0)</f>
        <v>0</v>
      </c>
      <c r="J5" s="83" t="str">
        <f>IF(I12=0,"Encépagement conforme aux règles du Cahier des Charges","Encépagement NON conforme aux règles du Cahier des Charges")</f>
        <v>Encépagement conforme aux règles du Cahier des Charges</v>
      </c>
      <c r="K5" s="84"/>
      <c r="N5" s="50">
        <v>3</v>
      </c>
      <c r="O5" s="97" t="s">
        <v>110</v>
      </c>
      <c r="P5" s="97"/>
      <c r="Q5" s="97"/>
      <c r="R5" s="98"/>
    </row>
    <row r="6" spans="2:18" x14ac:dyDescent="0.25">
      <c r="B6" s="36" t="s">
        <v>19</v>
      </c>
      <c r="C6" s="5" t="s">
        <v>22</v>
      </c>
      <c r="D6" s="14"/>
      <c r="E6" s="8">
        <f>D6*100/D9</f>
        <v>0</v>
      </c>
      <c r="F6" s="4">
        <f>ROUND(E6,2)</f>
        <v>0</v>
      </c>
      <c r="G6">
        <f t="shared" ref="G6:G8" si="0">IF(C6="P",F6,0)</f>
        <v>0</v>
      </c>
      <c r="H6">
        <f t="shared" ref="H6:H8" si="1">IF(C6="A",F6,0)</f>
        <v>0</v>
      </c>
      <c r="J6" s="85"/>
      <c r="K6" s="86"/>
      <c r="N6" s="50">
        <v>4</v>
      </c>
      <c r="O6" s="99" t="s">
        <v>108</v>
      </c>
      <c r="P6" s="99"/>
      <c r="Q6" s="99"/>
      <c r="R6" s="100"/>
    </row>
    <row r="7" spans="2:18" x14ac:dyDescent="0.25">
      <c r="B7" s="36" t="s">
        <v>44</v>
      </c>
      <c r="C7" s="5" t="s">
        <v>22</v>
      </c>
      <c r="D7" s="14">
        <v>2</v>
      </c>
      <c r="E7" s="8">
        <f>D7*100/D9</f>
        <v>19.047619047619047</v>
      </c>
      <c r="F7" s="4">
        <f t="shared" ref="F7:F8" si="2">ROUND(E7,2)</f>
        <v>19.05</v>
      </c>
      <c r="G7">
        <f t="shared" si="0"/>
        <v>0</v>
      </c>
      <c r="H7">
        <f t="shared" si="1"/>
        <v>0</v>
      </c>
      <c r="J7" s="85"/>
      <c r="K7" s="86"/>
      <c r="N7" s="50">
        <v>5</v>
      </c>
      <c r="O7" s="99" t="s">
        <v>111</v>
      </c>
      <c r="P7" s="99"/>
      <c r="Q7" s="99"/>
      <c r="R7" s="100"/>
    </row>
    <row r="8" spans="2:18" x14ac:dyDescent="0.25">
      <c r="B8" s="36" t="s">
        <v>6</v>
      </c>
      <c r="C8" s="5" t="s">
        <v>12</v>
      </c>
      <c r="D8" s="14">
        <v>0.5</v>
      </c>
      <c r="E8" s="8">
        <f>D8*100/D9</f>
        <v>4.7619047619047619</v>
      </c>
      <c r="F8" s="4">
        <f t="shared" si="2"/>
        <v>4.76</v>
      </c>
      <c r="G8">
        <f t="shared" si="0"/>
        <v>0</v>
      </c>
      <c r="H8">
        <f t="shared" si="1"/>
        <v>4.76</v>
      </c>
      <c r="J8" s="85"/>
      <c r="K8" s="86"/>
      <c r="N8" s="50">
        <v>6</v>
      </c>
      <c r="O8" s="99" t="s">
        <v>112</v>
      </c>
      <c r="P8" s="99"/>
      <c r="Q8" s="99"/>
      <c r="R8" s="100"/>
    </row>
    <row r="9" spans="2:18" ht="15.75" thickBot="1" x14ac:dyDescent="0.3">
      <c r="B9" s="81" t="s">
        <v>10</v>
      </c>
      <c r="C9" s="82"/>
      <c r="D9" s="12">
        <f>SUM(D5:D8)</f>
        <v>10.5</v>
      </c>
      <c r="E9" s="20">
        <f>SUM(E5:E8)</f>
        <v>100</v>
      </c>
      <c r="F9" s="4">
        <f>SUM(F5:F8)</f>
        <v>100</v>
      </c>
      <c r="G9">
        <f>SUM(G5:G8)</f>
        <v>76.19</v>
      </c>
      <c r="H9">
        <f>SUM(H5:H8)</f>
        <v>4.76</v>
      </c>
      <c r="J9" s="87"/>
      <c r="K9" s="88"/>
      <c r="N9" s="50">
        <v>7</v>
      </c>
      <c r="O9" s="99" t="s">
        <v>113</v>
      </c>
      <c r="P9" s="99"/>
      <c r="Q9" s="99"/>
      <c r="R9" s="100"/>
    </row>
    <row r="10" spans="2:18" x14ac:dyDescent="0.25">
      <c r="D10" s="38">
        <f>COUNT(D5:D8)</f>
        <v>3</v>
      </c>
      <c r="G10">
        <f>MAX(G5:G8)</f>
        <v>76.19</v>
      </c>
      <c r="N10" s="50">
        <v>8</v>
      </c>
      <c r="O10" s="99" t="s">
        <v>114</v>
      </c>
      <c r="P10" s="99"/>
      <c r="Q10" s="99"/>
      <c r="R10" s="100"/>
    </row>
    <row r="11" spans="2:18" ht="15.75" thickBot="1" x14ac:dyDescent="0.3">
      <c r="N11" s="50">
        <v>9</v>
      </c>
      <c r="O11" s="99" t="s">
        <v>115</v>
      </c>
      <c r="P11" s="99"/>
      <c r="Q11" s="99"/>
      <c r="R11" s="100"/>
    </row>
    <row r="12" spans="2:18" ht="16.5" thickBot="1" x14ac:dyDescent="0.3">
      <c r="B12" s="78" t="s">
        <v>71</v>
      </c>
      <c r="C12" s="79"/>
      <c r="D12" s="79"/>
      <c r="E12" s="80"/>
      <c r="I12" s="38">
        <f>SUM(I13:I14)</f>
        <v>0</v>
      </c>
      <c r="J12" s="91" t="s">
        <v>154</v>
      </c>
      <c r="K12" s="91"/>
      <c r="L12" s="25">
        <f>D5</f>
        <v>8</v>
      </c>
      <c r="N12" s="50">
        <v>10</v>
      </c>
      <c r="O12" s="99" t="s">
        <v>116</v>
      </c>
      <c r="P12" s="99"/>
      <c r="Q12" s="99"/>
      <c r="R12" s="100"/>
    </row>
    <row r="13" spans="2:18" x14ac:dyDescent="0.25">
      <c r="B13" s="101" t="s">
        <v>155</v>
      </c>
      <c r="C13" s="102"/>
      <c r="D13" s="102"/>
      <c r="E13" s="19" t="str">
        <f>E22</f>
        <v>conforme</v>
      </c>
      <c r="I13" s="18">
        <f>IF(E13="conforme",0,1)</f>
        <v>0</v>
      </c>
      <c r="J13" s="91" t="s">
        <v>138</v>
      </c>
      <c r="K13" s="91"/>
      <c r="L13" s="25">
        <f>(L12*100)/75</f>
        <v>10.666666666666666</v>
      </c>
      <c r="N13" s="50">
        <v>11</v>
      </c>
      <c r="O13" s="99" t="s">
        <v>117</v>
      </c>
      <c r="P13" s="99"/>
      <c r="Q13" s="99"/>
      <c r="R13" s="100"/>
    </row>
    <row r="14" spans="2:18" ht="15.75" thickBot="1" x14ac:dyDescent="0.3">
      <c r="B14" s="70" t="s">
        <v>156</v>
      </c>
      <c r="C14" s="71"/>
      <c r="D14" s="71"/>
      <c r="E14" s="11" t="str">
        <f>E23</f>
        <v>conforme</v>
      </c>
      <c r="I14" s="18">
        <f>IF(E14="conforme",0,1)</f>
        <v>0</v>
      </c>
      <c r="N14" s="50">
        <v>12</v>
      </c>
      <c r="O14" s="99" t="s">
        <v>118</v>
      </c>
      <c r="P14" s="99"/>
      <c r="Q14" s="99"/>
      <c r="R14" s="100"/>
    </row>
    <row r="15" spans="2:18" x14ac:dyDescent="0.25">
      <c r="J15" s="91" t="s">
        <v>103</v>
      </c>
      <c r="K15" s="91"/>
      <c r="L15" s="27">
        <f>(E5)/100</f>
        <v>0.76190476190476186</v>
      </c>
      <c r="N15" s="50">
        <v>13</v>
      </c>
      <c r="O15" s="99" t="s">
        <v>119</v>
      </c>
      <c r="P15" s="99"/>
      <c r="Q15" s="99"/>
      <c r="R15" s="100"/>
    </row>
    <row r="16" spans="2:18" x14ac:dyDescent="0.25">
      <c r="J16" s="91" t="s">
        <v>105</v>
      </c>
      <c r="K16" s="91"/>
      <c r="L16" s="26">
        <f>(E6+E7)/100</f>
        <v>0.19047619047619047</v>
      </c>
      <c r="N16" s="50">
        <v>14</v>
      </c>
      <c r="O16" s="99" t="s">
        <v>120</v>
      </c>
      <c r="P16" s="99"/>
      <c r="Q16" s="99"/>
      <c r="R16" s="100"/>
    </row>
    <row r="17" spans="2:18" ht="15.75" thickBot="1" x14ac:dyDescent="0.3">
      <c r="B17" t="s">
        <v>78</v>
      </c>
      <c r="N17" s="51">
        <v>15</v>
      </c>
      <c r="O17" s="95" t="s">
        <v>121</v>
      </c>
      <c r="P17" s="95"/>
      <c r="Q17" s="95"/>
      <c r="R17" s="96"/>
    </row>
    <row r="18" spans="2:18" x14ac:dyDescent="0.25">
      <c r="B18" t="s">
        <v>80</v>
      </c>
    </row>
    <row r="19" spans="2:18" x14ac:dyDescent="0.25">
      <c r="B19" t="s">
        <v>79</v>
      </c>
    </row>
    <row r="20" spans="2:18" x14ac:dyDescent="0.25">
      <c r="B20" t="str">
        <f>"* Potentiel calculé sur la base de la règle la plus limitante ("&amp;J12&amp;"), sans préjuger de l'encépagement restant sur l'exploitation."</f>
        <v>* Potentiel calculé sur la base de la règle la plus limitante (Surface GN : ), sans préjuger de l'encépagement restant sur l'exploitation.</v>
      </c>
    </row>
    <row r="22" spans="2:18" hidden="1" x14ac:dyDescent="0.25">
      <c r="B22" t="s">
        <v>48</v>
      </c>
      <c r="E22" t="str">
        <f>IF(E5&gt;=75,"conforme","anomalie")</f>
        <v>conforme</v>
      </c>
    </row>
    <row r="23" spans="2:18" hidden="1" x14ac:dyDescent="0.25">
      <c r="B23" t="s">
        <v>49</v>
      </c>
      <c r="E23" t="str">
        <f>IF(E8&lt;=10,"conforme","anomalie" )</f>
        <v>conforme</v>
      </c>
    </row>
  </sheetData>
  <sheetProtection algorithmName="SHA-512" hashValue="lxVWimyVZ8aQWc0lZ0Vbnov3J3idQRTkxVAfoZgWtW1C6w2NlsjULBLjED97KiZcLU55d9f2C6mj41vIoT0buw==" saltValue="7SxTx+h27EL8AxVPdrXTdg==" spinCount="100000" sheet="1" objects="1" scenarios="1"/>
  <mergeCells count="27">
    <mergeCell ref="O17:R17"/>
    <mergeCell ref="O12:R12"/>
    <mergeCell ref="O13:R13"/>
    <mergeCell ref="O14:R14"/>
    <mergeCell ref="O15:R15"/>
    <mergeCell ref="O16:R16"/>
    <mergeCell ref="O7:R7"/>
    <mergeCell ref="O8:R8"/>
    <mergeCell ref="O9:R9"/>
    <mergeCell ref="O10:R10"/>
    <mergeCell ref="O11:R11"/>
    <mergeCell ref="N2:R2"/>
    <mergeCell ref="O3:R3"/>
    <mergeCell ref="O4:R4"/>
    <mergeCell ref="O5:R5"/>
    <mergeCell ref="O6:R6"/>
    <mergeCell ref="J15:K15"/>
    <mergeCell ref="J16:K16"/>
    <mergeCell ref="B2:E3"/>
    <mergeCell ref="B12:E12"/>
    <mergeCell ref="B13:D13"/>
    <mergeCell ref="B14:D14"/>
    <mergeCell ref="B9:C9"/>
    <mergeCell ref="J3:K3"/>
    <mergeCell ref="J5:K9"/>
    <mergeCell ref="J12:K12"/>
    <mergeCell ref="J13:K13"/>
  </mergeCells>
  <conditionalFormatting sqref="E22:F23">
    <cfRule type="containsText" dxfId="53" priority="13" operator="containsText" text="OK">
      <formula>NOT(ISERROR(SEARCH("OK",E22)))</formula>
    </cfRule>
    <cfRule type="containsText" dxfId="52" priority="14" operator="containsText" text="Non conforme">
      <formula>NOT(ISERROR(SEARCH("Non conforme",E22)))</formula>
    </cfRule>
  </conditionalFormatting>
  <conditionalFormatting sqref="E22:E23">
    <cfRule type="containsText" dxfId="51" priority="11" operator="containsText" text="anomalie">
      <formula>NOT(ISERROR(SEARCH("anomalie",E22)))</formula>
    </cfRule>
    <cfRule type="containsText" dxfId="50" priority="12" operator="containsText" text="conforme">
      <formula>NOT(ISERROR(SEARCH("conforme",E22)))</formula>
    </cfRule>
  </conditionalFormatting>
  <conditionalFormatting sqref="E13">
    <cfRule type="containsText" dxfId="49" priority="7" operator="containsText" text="anomalie">
      <formula>NOT(ISERROR(SEARCH("anomalie",E13)))</formula>
    </cfRule>
    <cfRule type="containsText" dxfId="48" priority="8" operator="containsText" text="conforme">
      <formula>NOT(ISERROR(SEARCH("conforme",E13)))</formula>
    </cfRule>
    <cfRule type="containsText" dxfId="47" priority="9" operator="containsText" text="OK">
      <formula>NOT(ISERROR(SEARCH("OK",E13)))</formula>
    </cfRule>
    <cfRule type="containsText" dxfId="46" priority="10" operator="containsText" text="Non conforme">
      <formula>NOT(ISERROR(SEARCH("Non conforme",E13)))</formula>
    </cfRule>
  </conditionalFormatting>
  <conditionalFormatting sqref="E14">
    <cfRule type="containsText" dxfId="45" priority="3" operator="containsText" text="anomalie">
      <formula>NOT(ISERROR(SEARCH("anomalie",E14)))</formula>
    </cfRule>
    <cfRule type="containsText" dxfId="44" priority="4" operator="containsText" text="conforme">
      <formula>NOT(ISERROR(SEARCH("conforme",E14)))</formula>
    </cfRule>
    <cfRule type="containsText" dxfId="43" priority="5" operator="containsText" text="OK">
      <formula>NOT(ISERROR(SEARCH("OK",E14)))</formula>
    </cfRule>
    <cfRule type="containsText" dxfId="42" priority="6" operator="containsText" text="Non conforme">
      <formula>NOT(ISERROR(SEARCH("Non conforme",E14)))</formula>
    </cfRule>
  </conditionalFormatting>
  <conditionalFormatting sqref="J5:K9">
    <cfRule type="expression" dxfId="41" priority="48">
      <formula>$I$12&gt;0</formula>
    </cfRule>
    <cfRule type="expression" dxfId="40" priority="49">
      <formula>$I$12=0</formula>
    </cfRule>
  </conditionalFormatting>
  <hyperlinks>
    <hyperlink ref="J3" location="'Outil contrôle encépagement'!A1" display="Retour à l'accueil" xr:uid="{598845B5-F0BE-4748-BD4D-63594C13D618}"/>
    <hyperlink ref="O3" location="'CR Rouge'!A1" display="Côtes du Roussillon Rouge" xr:uid="{D539CE09-C290-4E89-AA4A-1C73A7CBE546}"/>
    <hyperlink ref="O4" location="'CR Rosé'!A1" display="Côtes du Roussillon Rosé" xr:uid="{3536A84C-43DA-4A51-B11A-50A9B9393A08}"/>
    <hyperlink ref="O5" location="'CR Blanc'!A1" display="Côtes du Roussillon Blanc" xr:uid="{B38E18FD-EFE1-4B0C-943A-88803F37D487}"/>
    <hyperlink ref="O6:R6" location="'CR Villages'!A1" display="Côtes du Roussillon Villages" xr:uid="{1A4D49E3-FD2B-46C5-9A1D-31B754F1B9D6}"/>
    <hyperlink ref="O7:R7" location="'CR Villages Les Aspres'!A1" display="Côtes du Roussillon Villages Les Aspres" xr:uid="{6643E5CD-E593-4543-9894-D59E6E98A585}"/>
    <hyperlink ref="O8:R8" location="'CRV LATOUR DE FRANCE'!A1" display="Côtes du Roussillon Villages Latour de France" xr:uid="{25D0D343-F7DD-4132-BD40-148FA5F170C1}"/>
    <hyperlink ref="O9:R9" location="'CRV CARAMANY'!A1" display="Côtes du Roussillon Villages Caramany" xr:uid="{785BE4F5-C0F5-4E71-ADA7-DDCE16EA94BC}"/>
    <hyperlink ref="O10:R10" location="'CRV LESQUERDE'!A1" display="Côtes du Roussillon Villages Lesquerde" xr:uid="{2728822F-E28A-43B0-AC1B-8ECFE34D1C38}"/>
    <hyperlink ref="O11:R11" location="'CRV TAUTAVEL'!A1" display="Côtes du Roussillon Villages Tautavel" xr:uid="{13B820EE-70A1-480E-AC7B-B96A0E9477FD}"/>
    <hyperlink ref="O12:R12" location="'MAURY SEC'!A1" display="Maury Sec" xr:uid="{DA3F8544-F809-458C-B1EC-1EA9A9C141F0}"/>
    <hyperlink ref="O13:R13" location="'MAURY Grenat ou Tuilé'!A1" display="Maury Grenat ou tuilé" xr:uid="{046A219B-AF97-4F3B-9476-D2EF2F14C1F3}"/>
    <hyperlink ref="O14:R14" location="'MAURY Ambré ou Blanc'!A1" display="Maury Ambré ou Blanc" xr:uid="{F4562F1E-53C8-42F4-95B6-6E11A8AF3C25}"/>
    <hyperlink ref="O15:R15" location="'Muscat de Riv.'!A1" display="Muscat de Rivesaltes" xr:uid="{2F543A4A-5FA9-48C9-BD71-1FC4FB9A62D0}"/>
    <hyperlink ref="O16:R16" location="'Rivesaltes Ambré, Rosé ou Tuilé'!A1" display="Rivesaltes Ambé, Rosé ou Tuilé" xr:uid="{012A6C8D-A60C-46CA-ADEB-8B68EAA990FD}"/>
    <hyperlink ref="O17:R17" location="'Rivesaltes Grenat'!A1" display="Rivesaltes Grenat" xr:uid="{1ECE253E-3EE0-4FB5-A4C2-D0933557D9C6}"/>
  </hyperlink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R28"/>
  <sheetViews>
    <sheetView showGridLines="0" showRowColHeaders="0" zoomScale="120" zoomScaleNormal="120" workbookViewId="0">
      <selection activeCell="O13" sqref="O13:R13"/>
    </sheetView>
  </sheetViews>
  <sheetFormatPr baseColWidth="10" defaultRowHeight="15" x14ac:dyDescent="0.25"/>
  <cols>
    <col min="2" max="2" width="21.5703125" customWidth="1"/>
    <col min="3" max="3" width="15" customWidth="1"/>
    <col min="6" max="8" width="0" hidden="1" customWidth="1"/>
    <col min="9" max="9" width="6" style="38"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161</v>
      </c>
      <c r="C2" s="74"/>
      <c r="D2" s="74"/>
      <c r="E2" s="74"/>
      <c r="N2" s="92" t="s">
        <v>170</v>
      </c>
      <c r="O2" s="93"/>
      <c r="P2" s="93"/>
      <c r="Q2" s="93"/>
      <c r="R2" s="94"/>
    </row>
    <row r="3" spans="2:18" ht="18.75" x14ac:dyDescent="0.25">
      <c r="B3" s="75"/>
      <c r="C3" s="75"/>
      <c r="D3" s="75"/>
      <c r="E3" s="75"/>
      <c r="J3" s="72" t="s">
        <v>122</v>
      </c>
      <c r="K3" s="73"/>
      <c r="N3" s="50">
        <v>1</v>
      </c>
      <c r="O3" s="97" t="s">
        <v>107</v>
      </c>
      <c r="P3" s="97"/>
      <c r="Q3" s="97"/>
      <c r="R3" s="98"/>
    </row>
    <row r="4" spans="2:18" ht="30.75" thickBot="1" x14ac:dyDescent="0.3">
      <c r="B4" s="15" t="s">
        <v>7</v>
      </c>
      <c r="C4" s="16" t="s">
        <v>100</v>
      </c>
      <c r="D4" s="15" t="s">
        <v>8</v>
      </c>
      <c r="E4" s="15" t="s">
        <v>9</v>
      </c>
      <c r="F4" t="s">
        <v>41</v>
      </c>
      <c r="G4" s="1" t="s">
        <v>13</v>
      </c>
      <c r="H4" s="1" t="s">
        <v>14</v>
      </c>
      <c r="N4" s="50">
        <v>2</v>
      </c>
      <c r="O4" s="97" t="s">
        <v>109</v>
      </c>
      <c r="P4" s="97"/>
      <c r="Q4" s="97"/>
      <c r="R4" s="98"/>
    </row>
    <row r="5" spans="2:18" x14ac:dyDescent="0.25">
      <c r="B5" s="36" t="s">
        <v>19</v>
      </c>
      <c r="C5" s="5" t="s">
        <v>11</v>
      </c>
      <c r="D5" s="14"/>
      <c r="E5" s="8">
        <f>D5*100/D11</f>
        <v>0</v>
      </c>
      <c r="F5">
        <f>ROUND(E5,2)</f>
        <v>0</v>
      </c>
      <c r="G5">
        <f>IF(C5="P",F5,0)</f>
        <v>0</v>
      </c>
      <c r="H5">
        <f>IF(C5="A",E5,0)</f>
        <v>0</v>
      </c>
      <c r="J5" s="83" t="str">
        <f>IF(I14=0,"Encépagement conforme aux règles du Cahier des Charges","Encépagement NON conforme aux règles du Cahier des Charges")</f>
        <v>Encépagement NON conforme aux règles du Cahier des Charges</v>
      </c>
      <c r="K5" s="84"/>
      <c r="N5" s="50">
        <v>3</v>
      </c>
      <c r="O5" s="97" t="s">
        <v>110</v>
      </c>
      <c r="P5" s="97"/>
      <c r="Q5" s="97"/>
      <c r="R5" s="98"/>
    </row>
    <row r="6" spans="2:18" x14ac:dyDescent="0.25">
      <c r="B6" s="36" t="s">
        <v>51</v>
      </c>
      <c r="C6" s="5" t="s">
        <v>11</v>
      </c>
      <c r="D6" s="14">
        <v>1</v>
      </c>
      <c r="E6" s="8">
        <f>D6*100/D11</f>
        <v>76.92307692307692</v>
      </c>
      <c r="F6">
        <f>ROUND(E6,2)</f>
        <v>76.92</v>
      </c>
      <c r="G6">
        <f t="shared" ref="G6:G10" si="0">IF(C6="P",F6,0)</f>
        <v>76.92</v>
      </c>
      <c r="H6">
        <f t="shared" ref="H6:H10" si="1">IF(C6="A",E6,0)</f>
        <v>0</v>
      </c>
      <c r="J6" s="85"/>
      <c r="K6" s="86"/>
      <c r="N6" s="50">
        <v>4</v>
      </c>
      <c r="O6" s="99" t="s">
        <v>108</v>
      </c>
      <c r="P6" s="99"/>
      <c r="Q6" s="99"/>
      <c r="R6" s="100"/>
    </row>
    <row r="7" spans="2:18" x14ac:dyDescent="0.25">
      <c r="B7" s="36" t="s">
        <v>6</v>
      </c>
      <c r="C7" s="5" t="s">
        <v>11</v>
      </c>
      <c r="D7" s="14"/>
      <c r="E7" s="8">
        <f>D7*100/D11</f>
        <v>0</v>
      </c>
      <c r="F7">
        <f t="shared" ref="F7:F10" si="2">ROUND(E7,2)</f>
        <v>0</v>
      </c>
      <c r="G7">
        <f t="shared" si="0"/>
        <v>0</v>
      </c>
      <c r="H7">
        <f t="shared" si="1"/>
        <v>0</v>
      </c>
      <c r="J7" s="85"/>
      <c r="K7" s="86"/>
      <c r="N7" s="50">
        <v>5</v>
      </c>
      <c r="O7" s="99" t="s">
        <v>111</v>
      </c>
      <c r="P7" s="99"/>
      <c r="Q7" s="99"/>
      <c r="R7" s="100"/>
    </row>
    <row r="8" spans="2:18" x14ac:dyDescent="0.25">
      <c r="B8" s="36" t="s">
        <v>21</v>
      </c>
      <c r="C8" s="5" t="s">
        <v>11</v>
      </c>
      <c r="D8" s="14"/>
      <c r="E8" s="8">
        <f>D8*100/D11</f>
        <v>0</v>
      </c>
      <c r="F8">
        <f t="shared" si="2"/>
        <v>0</v>
      </c>
      <c r="G8">
        <f t="shared" si="0"/>
        <v>0</v>
      </c>
      <c r="H8">
        <f t="shared" si="1"/>
        <v>0</v>
      </c>
      <c r="J8" s="85"/>
      <c r="K8" s="86"/>
      <c r="N8" s="50">
        <v>6</v>
      </c>
      <c r="O8" s="99" t="s">
        <v>112</v>
      </c>
      <c r="P8" s="99"/>
      <c r="Q8" s="99"/>
      <c r="R8" s="100"/>
    </row>
    <row r="9" spans="2:18" ht="15.75" thickBot="1" x14ac:dyDescent="0.3">
      <c r="B9" s="36" t="s">
        <v>46</v>
      </c>
      <c r="C9" s="5" t="s">
        <v>12</v>
      </c>
      <c r="D9" s="14">
        <v>0.3</v>
      </c>
      <c r="E9" s="8">
        <f>D9*100/D11</f>
        <v>23.076923076923077</v>
      </c>
      <c r="F9">
        <f t="shared" si="2"/>
        <v>23.08</v>
      </c>
      <c r="G9">
        <f t="shared" si="0"/>
        <v>0</v>
      </c>
      <c r="H9">
        <f t="shared" si="1"/>
        <v>23.076923076923077</v>
      </c>
      <c r="J9" s="87"/>
      <c r="K9" s="88"/>
      <c r="N9" s="50">
        <v>7</v>
      </c>
      <c r="O9" s="99" t="s">
        <v>113</v>
      </c>
      <c r="P9" s="99"/>
      <c r="Q9" s="99"/>
      <c r="R9" s="100"/>
    </row>
    <row r="10" spans="2:18" x14ac:dyDescent="0.25">
      <c r="B10" s="36" t="s">
        <v>45</v>
      </c>
      <c r="C10" s="5" t="s">
        <v>12</v>
      </c>
      <c r="D10" s="14"/>
      <c r="E10" s="8">
        <f>D10*100/D11</f>
        <v>0</v>
      </c>
      <c r="F10">
        <f t="shared" si="2"/>
        <v>0</v>
      </c>
      <c r="G10">
        <f t="shared" si="0"/>
        <v>0</v>
      </c>
      <c r="H10">
        <f t="shared" si="1"/>
        <v>0</v>
      </c>
      <c r="N10" s="50">
        <v>8</v>
      </c>
      <c r="O10" s="99" t="s">
        <v>114</v>
      </c>
      <c r="P10" s="99"/>
      <c r="Q10" s="99"/>
      <c r="R10" s="100"/>
    </row>
    <row r="11" spans="2:18" x14ac:dyDescent="0.25">
      <c r="B11" s="81" t="s">
        <v>10</v>
      </c>
      <c r="C11" s="82"/>
      <c r="D11" s="12">
        <f>SUM(D5:D10)</f>
        <v>1.3</v>
      </c>
      <c r="E11" s="20">
        <f>SUM(E5:E10)</f>
        <v>100</v>
      </c>
      <c r="F11">
        <f>SUM(F5:F10)</f>
        <v>100</v>
      </c>
      <c r="G11">
        <f>SUM(G5:G10)</f>
        <v>76.92</v>
      </c>
      <c r="H11">
        <f>SUM(H5:H10)</f>
        <v>23.076923076923077</v>
      </c>
      <c r="J11" s="91" t="s">
        <v>160</v>
      </c>
      <c r="K11" s="91"/>
      <c r="L11" s="25">
        <f>D5+D6+D7+D8</f>
        <v>1</v>
      </c>
      <c r="N11" s="50">
        <v>9</v>
      </c>
      <c r="O11" s="99" t="s">
        <v>115</v>
      </c>
      <c r="P11" s="99"/>
      <c r="Q11" s="99"/>
      <c r="R11" s="100"/>
    </row>
    <row r="12" spans="2:18" x14ac:dyDescent="0.25">
      <c r="D12" s="38">
        <f>COUNT(D5:D10)</f>
        <v>2</v>
      </c>
      <c r="F12">
        <f>MAX(F5:F10)</f>
        <v>76.92</v>
      </c>
      <c r="J12" s="91" t="s">
        <v>138</v>
      </c>
      <c r="K12" s="91"/>
      <c r="L12" s="25">
        <f>(L11*100)/80</f>
        <v>1.25</v>
      </c>
      <c r="N12" s="50">
        <v>10</v>
      </c>
      <c r="O12" s="99" t="s">
        <v>116</v>
      </c>
      <c r="P12" s="99"/>
      <c r="Q12" s="99"/>
      <c r="R12" s="100"/>
    </row>
    <row r="13" spans="2:18" ht="15.75" thickBot="1" x14ac:dyDescent="0.3">
      <c r="N13" s="50">
        <v>11</v>
      </c>
      <c r="O13" s="99" t="s">
        <v>117</v>
      </c>
      <c r="P13" s="99"/>
      <c r="Q13" s="99"/>
      <c r="R13" s="100"/>
    </row>
    <row r="14" spans="2:18" ht="16.5" thickBot="1" x14ac:dyDescent="0.3">
      <c r="B14" s="78" t="s">
        <v>71</v>
      </c>
      <c r="C14" s="79"/>
      <c r="D14" s="79"/>
      <c r="E14" s="80"/>
      <c r="I14" s="38">
        <f>SUM(I15:I16)</f>
        <v>2</v>
      </c>
      <c r="J14" s="91" t="s">
        <v>103</v>
      </c>
      <c r="K14" s="91"/>
      <c r="L14" s="27">
        <f>(E5+E6+E7+E8)/100</f>
        <v>0.76923076923076916</v>
      </c>
      <c r="N14" s="50">
        <v>12</v>
      </c>
      <c r="O14" s="99" t="s">
        <v>118</v>
      </c>
      <c r="P14" s="99"/>
      <c r="Q14" s="99"/>
      <c r="R14" s="100"/>
    </row>
    <row r="15" spans="2:18" ht="31.5" customHeight="1" x14ac:dyDescent="0.25">
      <c r="B15" s="108" t="s">
        <v>158</v>
      </c>
      <c r="C15" s="109"/>
      <c r="D15" s="109"/>
      <c r="E15" s="19" t="str">
        <f>H27</f>
        <v>anomalie</v>
      </c>
      <c r="I15" s="18">
        <f>IF(E15="conforme",0,1)</f>
        <v>1</v>
      </c>
      <c r="J15" s="91" t="s">
        <v>104</v>
      </c>
      <c r="K15" s="91"/>
      <c r="L15" s="26">
        <f>(E9+E10)/100</f>
        <v>0.23076923076923075</v>
      </c>
      <c r="N15" s="50">
        <v>13</v>
      </c>
      <c r="O15" s="99" t="s">
        <v>119</v>
      </c>
      <c r="P15" s="99"/>
      <c r="Q15" s="99"/>
      <c r="R15" s="100"/>
    </row>
    <row r="16" spans="2:18" ht="30.75" customHeight="1" thickBot="1" x14ac:dyDescent="0.3">
      <c r="B16" s="105" t="s">
        <v>159</v>
      </c>
      <c r="C16" s="106"/>
      <c r="D16" s="107"/>
      <c r="E16" s="11" t="str">
        <f>G28</f>
        <v>anomalie</v>
      </c>
      <c r="I16" s="18">
        <f>IF(E16="conforme",0,1)</f>
        <v>1</v>
      </c>
      <c r="N16" s="50">
        <v>14</v>
      </c>
      <c r="O16" s="99" t="s">
        <v>120</v>
      </c>
      <c r="P16" s="99"/>
      <c r="Q16" s="99"/>
      <c r="R16" s="100"/>
    </row>
    <row r="17" spans="2:18" ht="15.75" thickBot="1" x14ac:dyDescent="0.3">
      <c r="N17" s="51">
        <v>15</v>
      </c>
      <c r="O17" s="95" t="s">
        <v>121</v>
      </c>
      <c r="P17" s="95"/>
      <c r="Q17" s="95"/>
      <c r="R17" s="96"/>
    </row>
    <row r="18" spans="2:18" x14ac:dyDescent="0.25">
      <c r="B18" t="s">
        <v>78</v>
      </c>
    </row>
    <row r="19" spans="2:18" x14ac:dyDescent="0.25">
      <c r="B19" t="s">
        <v>80</v>
      </c>
    </row>
    <row r="20" spans="2:18" x14ac:dyDescent="0.25">
      <c r="B20" t="s">
        <v>79</v>
      </c>
    </row>
    <row r="21" spans="2:18" x14ac:dyDescent="0.25">
      <c r="B21" t="str">
        <f>"* Potentiel calculé sur la base de la règle la plus limitante ("&amp;J11&amp;"), sans préjuger de l'encépagement restant sur l'exploitation."</f>
        <v>* Potentiel calculé sur la base de la règle la plus limitante (Surface PRINCIPAUX : ), sans préjuger de l'encépagement restant sur l'exploitation.</v>
      </c>
    </row>
    <row r="27" spans="2:18" ht="60" hidden="1" x14ac:dyDescent="0.25">
      <c r="B27" s="1" t="s">
        <v>63</v>
      </c>
      <c r="H27" t="str">
        <f>IF(H11&lt;=20,"conforme","anomalie" )</f>
        <v>anomalie</v>
      </c>
    </row>
    <row r="28" spans="2:18" ht="60" hidden="1" x14ac:dyDescent="0.25">
      <c r="B28" s="1" t="s">
        <v>70</v>
      </c>
      <c r="G28" t="str">
        <f>IF(G11&gt;=80,"conforme","anomalie" )</f>
        <v>anomalie</v>
      </c>
    </row>
  </sheetData>
  <sheetProtection algorithmName="SHA-512" hashValue="u+bd9Q5ePOxkYBpVAGV7qit5JCS+QIQlT8Snyu8ZEJpLoJLRsTxW5ZHNrw9zVS3X4l1u2vOd6kjUF/LBFkCAXg==" saltValue="vcGUV3F7X/rVDl6GFO/NdA==" spinCount="100000" sheet="1" objects="1" scenarios="1"/>
  <mergeCells count="27">
    <mergeCell ref="O17:R17"/>
    <mergeCell ref="O12:R12"/>
    <mergeCell ref="O13:R13"/>
    <mergeCell ref="O14:R14"/>
    <mergeCell ref="O15:R15"/>
    <mergeCell ref="O16:R16"/>
    <mergeCell ref="O7:R7"/>
    <mergeCell ref="O8:R8"/>
    <mergeCell ref="O9:R9"/>
    <mergeCell ref="O10:R10"/>
    <mergeCell ref="O11:R11"/>
    <mergeCell ref="N2:R2"/>
    <mergeCell ref="O3:R3"/>
    <mergeCell ref="O4:R4"/>
    <mergeCell ref="O5:R5"/>
    <mergeCell ref="O6:R6"/>
    <mergeCell ref="B16:D16"/>
    <mergeCell ref="B11:C11"/>
    <mergeCell ref="J3:K3"/>
    <mergeCell ref="J5:K9"/>
    <mergeCell ref="J12:K12"/>
    <mergeCell ref="J15:K15"/>
    <mergeCell ref="J11:K11"/>
    <mergeCell ref="J14:K14"/>
    <mergeCell ref="B2:E3"/>
    <mergeCell ref="B14:E14"/>
    <mergeCell ref="B15:D15"/>
  </mergeCells>
  <conditionalFormatting sqref="H27">
    <cfRule type="containsText" dxfId="39" priority="15" operator="containsText" text="OK">
      <formula>NOT(ISERROR(SEARCH("OK",H27)))</formula>
    </cfRule>
    <cfRule type="containsText" dxfId="38" priority="16" operator="containsText" text="Non conforme">
      <formula>NOT(ISERROR(SEARCH("Non conforme",H27)))</formula>
    </cfRule>
  </conditionalFormatting>
  <conditionalFormatting sqref="G28">
    <cfRule type="containsText" dxfId="37" priority="13" operator="containsText" text="OK">
      <formula>NOT(ISERROR(SEARCH("OK",G28)))</formula>
    </cfRule>
    <cfRule type="containsText" dxfId="36" priority="14" operator="containsText" text="Non conforme">
      <formula>NOT(ISERROR(SEARCH("Non conforme",G28)))</formula>
    </cfRule>
  </conditionalFormatting>
  <conditionalFormatting sqref="C27:H28">
    <cfRule type="containsText" dxfId="35" priority="11" operator="containsText" text="anomalie">
      <formula>NOT(ISERROR(SEARCH("anomalie",C27)))</formula>
    </cfRule>
    <cfRule type="containsText" dxfId="34" priority="12" operator="containsText" text="conforme">
      <formula>NOT(ISERROR(SEARCH("conforme",C27)))</formula>
    </cfRule>
  </conditionalFormatting>
  <conditionalFormatting sqref="E15">
    <cfRule type="containsText" dxfId="33" priority="7" operator="containsText" text="anomalie">
      <formula>NOT(ISERROR(SEARCH("anomalie",E15)))</formula>
    </cfRule>
    <cfRule type="containsText" dxfId="32" priority="8" operator="containsText" text="conforme">
      <formula>NOT(ISERROR(SEARCH("conforme",E15)))</formula>
    </cfRule>
    <cfRule type="containsText" dxfId="31" priority="9" operator="containsText" text="OK">
      <formula>NOT(ISERROR(SEARCH("OK",E15)))</formula>
    </cfRule>
    <cfRule type="containsText" dxfId="30" priority="10" operator="containsText" text="Non conforme">
      <formula>NOT(ISERROR(SEARCH("Non conforme",E15)))</formula>
    </cfRule>
  </conditionalFormatting>
  <conditionalFormatting sqref="E16">
    <cfRule type="containsText" dxfId="29" priority="3" operator="containsText" text="anomalie">
      <formula>NOT(ISERROR(SEARCH("anomalie",E16)))</formula>
    </cfRule>
    <cfRule type="containsText" dxfId="28" priority="4" operator="containsText" text="conforme">
      <formula>NOT(ISERROR(SEARCH("conforme",E16)))</formula>
    </cfRule>
    <cfRule type="containsText" dxfId="27" priority="5" operator="containsText" text="OK">
      <formula>NOT(ISERROR(SEARCH("OK",E16)))</formula>
    </cfRule>
    <cfRule type="containsText" dxfId="26" priority="6" operator="containsText" text="Non conforme">
      <formula>NOT(ISERROR(SEARCH("Non conforme",E16)))</formula>
    </cfRule>
  </conditionalFormatting>
  <conditionalFormatting sqref="J5:K9">
    <cfRule type="expression" dxfId="25" priority="50">
      <formula>$I$14&gt;0</formula>
    </cfRule>
    <cfRule type="expression" dxfId="24" priority="51">
      <formula>$I$14=0</formula>
    </cfRule>
  </conditionalFormatting>
  <hyperlinks>
    <hyperlink ref="J3" location="'Outil contrôle encépagement'!A1" display="Retour à l'accueil" xr:uid="{C01BFD44-E3AD-49E5-BD90-78CD3E2CA35D}"/>
    <hyperlink ref="O3" location="'CR Rouge'!A1" display="Côtes du Roussillon Rouge" xr:uid="{73368E31-EE71-47C7-80E9-050A0608292E}"/>
    <hyperlink ref="O4" location="'CR Rosé'!A1" display="Côtes du Roussillon Rosé" xr:uid="{07D2A013-C81C-45D4-BD6C-A71E14335056}"/>
    <hyperlink ref="O5" location="'CR Blanc'!A1" display="Côtes du Roussillon Blanc" xr:uid="{21327F66-7E14-4F8D-829E-3ACEF8CAE7C1}"/>
    <hyperlink ref="O6:R6" location="'CR Villages'!A1" display="Côtes du Roussillon Villages" xr:uid="{8D03E590-3BE7-431B-A302-566B8751D2B0}"/>
    <hyperlink ref="O7:R7" location="'CR Villages Les Aspres'!A1" display="Côtes du Roussillon Villages Les Aspres" xr:uid="{345C96CF-989F-4A01-BA47-F7A712FF4A81}"/>
    <hyperlink ref="O8:R8" location="'CRV LATOUR DE FRANCE'!A1" display="Côtes du Roussillon Villages Latour de France" xr:uid="{E32C8B72-D5ED-4A96-A96B-3E578F707113}"/>
    <hyperlink ref="O9:R9" location="'CRV CARAMANY'!A1" display="Côtes du Roussillon Villages Caramany" xr:uid="{289A3084-819B-45FD-B911-E00F0C68B2A3}"/>
    <hyperlink ref="O10:R10" location="'CRV LESQUERDE'!A1" display="Côtes du Roussillon Villages Lesquerde" xr:uid="{429095C3-9452-4796-A5F2-902A40B5FFCD}"/>
    <hyperlink ref="O11:R11" location="'CRV TAUTAVEL'!A1" display="Côtes du Roussillon Villages Tautavel" xr:uid="{4CAC126E-27F7-4A71-9387-06ED5D75CF53}"/>
    <hyperlink ref="O12:R12" location="'MAURY SEC'!A1" display="Maury Sec" xr:uid="{CBE7748E-E84C-4FA3-BD12-376B041118B8}"/>
    <hyperlink ref="O13:R13" location="'MAURY Grenat ou Tuilé'!A1" display="Maury Grenat ou tuilé" xr:uid="{1371FB55-C43B-4584-B1A7-CB26FCDE8E78}"/>
    <hyperlink ref="O14:R14" location="'MAURY Ambré ou Blanc'!A1" display="Maury Ambré ou Blanc" xr:uid="{DF73AAB0-BD4C-4FB6-98C7-03C32FE3BAF2}"/>
    <hyperlink ref="O15:R15" location="'Muscat de Riv.'!A1" display="Muscat de Rivesaltes" xr:uid="{CC54E19D-0967-4478-BA78-F662FED283B6}"/>
    <hyperlink ref="O16:R16" location="'Rivesaltes Ambré, Rosé ou Tuilé'!A1" display="Rivesaltes Ambé, Rosé ou Tuilé" xr:uid="{18F5B8C8-CAF3-4B2F-ABD8-E2CB92730BAA}"/>
    <hyperlink ref="O17:R17" location="'Rivesaltes Grenat'!A1" display="Rivesaltes Grenat" xr:uid="{8BCF494C-F866-4CD3-9CDF-FFFD157BC27F}"/>
  </hyperlink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P17"/>
  <sheetViews>
    <sheetView showGridLines="0" showRowColHeaders="0" zoomScale="120" zoomScaleNormal="120" workbookViewId="0">
      <selection activeCell="M14" sqref="M14:P14"/>
    </sheetView>
  </sheetViews>
  <sheetFormatPr baseColWidth="10" defaultRowHeight="15" x14ac:dyDescent="0.25"/>
  <cols>
    <col min="2" max="2" width="19.85546875" customWidth="1"/>
    <col min="6" max="7" width="0" hidden="1" customWidth="1"/>
    <col min="8" max="8" width="5.28515625" style="3" customWidth="1"/>
    <col min="12" max="12" width="3.42578125" bestFit="1" customWidth="1"/>
    <col min="13" max="13" width="8.85546875" customWidth="1"/>
    <col min="14" max="14" width="10" customWidth="1"/>
    <col min="15" max="15" width="10.7109375" customWidth="1"/>
    <col min="16" max="16" width="6.5703125" customWidth="1"/>
  </cols>
  <sheetData>
    <row r="1" spans="2:16" ht="15.75" thickBot="1" x14ac:dyDescent="0.3"/>
    <row r="2" spans="2:16" ht="18.75" x14ac:dyDescent="0.3">
      <c r="B2" s="74" t="s">
        <v>164</v>
      </c>
      <c r="C2" s="74"/>
      <c r="D2" s="74"/>
      <c r="E2" s="74"/>
      <c r="L2" s="92" t="s">
        <v>170</v>
      </c>
      <c r="M2" s="93"/>
      <c r="N2" s="93"/>
      <c r="O2" s="93"/>
      <c r="P2" s="94"/>
    </row>
    <row r="3" spans="2:16" ht="18.75" x14ac:dyDescent="0.25">
      <c r="B3" s="75"/>
      <c r="C3" s="75"/>
      <c r="D3" s="75"/>
      <c r="E3" s="75"/>
      <c r="I3" s="72" t="s">
        <v>122</v>
      </c>
      <c r="J3" s="73"/>
      <c r="L3" s="50">
        <v>1</v>
      </c>
      <c r="M3" s="97" t="s">
        <v>107</v>
      </c>
      <c r="N3" s="97"/>
      <c r="O3" s="97"/>
      <c r="P3" s="98"/>
    </row>
    <row r="4" spans="2:16" ht="21" customHeight="1" thickBot="1" x14ac:dyDescent="0.3">
      <c r="B4" s="15" t="s">
        <v>7</v>
      </c>
      <c r="C4" s="16" t="s">
        <v>163</v>
      </c>
      <c r="D4" s="15" t="s">
        <v>8</v>
      </c>
      <c r="E4" s="15" t="s">
        <v>9</v>
      </c>
      <c r="F4" t="s">
        <v>43</v>
      </c>
      <c r="G4" s="1" t="s">
        <v>13</v>
      </c>
      <c r="L4" s="50">
        <v>2</v>
      </c>
      <c r="M4" s="97" t="s">
        <v>109</v>
      </c>
      <c r="N4" s="97"/>
      <c r="O4" s="97"/>
      <c r="P4" s="98"/>
    </row>
    <row r="5" spans="2:16" x14ac:dyDescent="0.25">
      <c r="B5" s="36" t="s">
        <v>45</v>
      </c>
      <c r="C5" s="5" t="s">
        <v>11</v>
      </c>
      <c r="D5" s="14"/>
      <c r="E5" s="8">
        <f>D5*100/D7</f>
        <v>0</v>
      </c>
      <c r="F5" s="4">
        <f>ROUND(E5,2)</f>
        <v>0</v>
      </c>
      <c r="G5">
        <f>IF(C5="P",F5,0)</f>
        <v>0</v>
      </c>
      <c r="I5" s="83" t="str">
        <f>IF(H10=0,"Encépagement conforme aux règles du Cahier des Charges","Encépagement NON conforme aux règles du Cahier des Charges")</f>
        <v>Encépagement conforme aux règles du Cahier des Charges</v>
      </c>
      <c r="J5" s="84"/>
      <c r="L5" s="50">
        <v>3</v>
      </c>
      <c r="M5" s="97" t="s">
        <v>110</v>
      </c>
      <c r="N5" s="97"/>
      <c r="O5" s="97"/>
      <c r="P5" s="98"/>
    </row>
    <row r="6" spans="2:16" x14ac:dyDescent="0.25">
      <c r="B6" s="36" t="s">
        <v>46</v>
      </c>
      <c r="C6" s="5" t="s">
        <v>11</v>
      </c>
      <c r="D6" s="14">
        <v>1</v>
      </c>
      <c r="E6" s="8">
        <f>D6*100/D7</f>
        <v>100</v>
      </c>
      <c r="F6" s="4">
        <f>ROUND(E6,2)</f>
        <v>100</v>
      </c>
      <c r="G6">
        <f t="shared" ref="G6" si="0">IF(C6="P",F6,0)</f>
        <v>100</v>
      </c>
      <c r="I6" s="85"/>
      <c r="J6" s="86"/>
      <c r="L6" s="50">
        <v>4</v>
      </c>
      <c r="M6" s="99" t="s">
        <v>108</v>
      </c>
      <c r="N6" s="99"/>
      <c r="O6" s="99"/>
      <c r="P6" s="100"/>
    </row>
    <row r="7" spans="2:16" x14ac:dyDescent="0.25">
      <c r="B7" s="81" t="s">
        <v>10</v>
      </c>
      <c r="C7" s="82"/>
      <c r="D7" s="12">
        <f>SUM(D5:D6)</f>
        <v>1</v>
      </c>
      <c r="E7" s="20">
        <f>SUM(E5:E6)</f>
        <v>100</v>
      </c>
      <c r="F7">
        <f>SUM(F5:F6)</f>
        <v>100</v>
      </c>
      <c r="G7">
        <f>SUM(G5:G6)</f>
        <v>100</v>
      </c>
      <c r="I7" s="85"/>
      <c r="J7" s="86"/>
      <c r="L7" s="50">
        <v>5</v>
      </c>
      <c r="M7" s="99" t="s">
        <v>111</v>
      </c>
      <c r="N7" s="99"/>
      <c r="O7" s="99"/>
      <c r="P7" s="100"/>
    </row>
    <row r="8" spans="2:16" x14ac:dyDescent="0.25">
      <c r="D8" s="38">
        <f>COUNT(D5:D6)</f>
        <v>1</v>
      </c>
      <c r="G8">
        <f>MAX(G5:G6)</f>
        <v>100</v>
      </c>
      <c r="I8" s="85"/>
      <c r="J8" s="86"/>
      <c r="L8" s="50">
        <v>6</v>
      </c>
      <c r="M8" s="99" t="s">
        <v>112</v>
      </c>
      <c r="N8" s="99"/>
      <c r="O8" s="99"/>
      <c r="P8" s="100"/>
    </row>
    <row r="9" spans="2:16" ht="15.75" thickBot="1" x14ac:dyDescent="0.3">
      <c r="I9" s="87"/>
      <c r="J9" s="88"/>
      <c r="L9" s="50">
        <v>7</v>
      </c>
      <c r="M9" s="99" t="s">
        <v>113</v>
      </c>
      <c r="N9" s="99"/>
      <c r="O9" s="99"/>
      <c r="P9" s="100"/>
    </row>
    <row r="10" spans="2:16" ht="16.5" thickBot="1" x14ac:dyDescent="0.3">
      <c r="B10" s="78" t="s">
        <v>71</v>
      </c>
      <c r="C10" s="79"/>
      <c r="D10" s="79"/>
      <c r="E10" s="80"/>
      <c r="H10" s="38">
        <f>SUM(H11)</f>
        <v>0</v>
      </c>
      <c r="L10" s="50">
        <v>8</v>
      </c>
      <c r="M10" s="99" t="s">
        <v>114</v>
      </c>
      <c r="N10" s="99"/>
      <c r="O10" s="99"/>
      <c r="P10" s="100"/>
    </row>
    <row r="11" spans="2:16" ht="15.75" thickBot="1" x14ac:dyDescent="0.3">
      <c r="B11" s="105" t="s">
        <v>162</v>
      </c>
      <c r="C11" s="106"/>
      <c r="D11" s="107"/>
      <c r="E11" s="11" t="str">
        <f>IF(D8&gt;=1,"conforme","anomalie" )</f>
        <v>conforme</v>
      </c>
      <c r="H11" s="18">
        <f>IF(E11="conforme",0,1)</f>
        <v>0</v>
      </c>
      <c r="I11" s="110"/>
      <c r="J11" s="110"/>
      <c r="K11" s="43"/>
      <c r="L11" s="50">
        <v>9</v>
      </c>
      <c r="M11" s="99" t="s">
        <v>115</v>
      </c>
      <c r="N11" s="99"/>
      <c r="O11" s="99"/>
      <c r="P11" s="100"/>
    </row>
    <row r="12" spans="2:16" x14ac:dyDescent="0.25">
      <c r="H12" s="42"/>
      <c r="I12" s="110"/>
      <c r="J12" s="110"/>
      <c r="K12" s="43"/>
      <c r="L12" s="50">
        <v>10</v>
      </c>
      <c r="M12" s="99" t="s">
        <v>116</v>
      </c>
      <c r="N12" s="99"/>
      <c r="O12" s="99"/>
      <c r="P12" s="100"/>
    </row>
    <row r="13" spans="2:16" x14ac:dyDescent="0.25">
      <c r="B13" t="s">
        <v>78</v>
      </c>
      <c r="L13" s="50">
        <v>11</v>
      </c>
      <c r="M13" s="99" t="s">
        <v>117</v>
      </c>
      <c r="N13" s="99"/>
      <c r="O13" s="99"/>
      <c r="P13" s="100"/>
    </row>
    <row r="14" spans="2:16" x14ac:dyDescent="0.25">
      <c r="B14" t="s">
        <v>80</v>
      </c>
      <c r="L14" s="50">
        <v>12</v>
      </c>
      <c r="M14" s="99" t="s">
        <v>118</v>
      </c>
      <c r="N14" s="99"/>
      <c r="O14" s="99"/>
      <c r="P14" s="100"/>
    </row>
    <row r="15" spans="2:16" x14ac:dyDescent="0.25">
      <c r="B15" t="s">
        <v>79</v>
      </c>
      <c r="L15" s="50">
        <v>13</v>
      </c>
      <c r="M15" s="99" t="s">
        <v>119</v>
      </c>
      <c r="N15" s="99"/>
      <c r="O15" s="99"/>
      <c r="P15" s="100"/>
    </row>
    <row r="16" spans="2:16" x14ac:dyDescent="0.25">
      <c r="L16" s="50">
        <v>14</v>
      </c>
      <c r="M16" s="99" t="s">
        <v>120</v>
      </c>
      <c r="N16" s="99"/>
      <c r="O16" s="99"/>
      <c r="P16" s="100"/>
    </row>
    <row r="17" spans="12:16" ht="15.75" thickBot="1" x14ac:dyDescent="0.3">
      <c r="L17" s="51">
        <v>15</v>
      </c>
      <c r="M17" s="95" t="s">
        <v>121</v>
      </c>
      <c r="N17" s="95"/>
      <c r="O17" s="95"/>
      <c r="P17" s="96"/>
    </row>
  </sheetData>
  <sheetProtection algorithmName="SHA-512" hashValue="L9W7FBm7ByJ60ZUL97gwTSbJ6ZO1miK/00ru2GHstot1zOe6XJxHEoAwMAU0r3buZVrBISBZtrlIM5TN6WtE/Q==" saltValue="klZ9kDMXyzfv7wOLCMC4yA==" spinCount="100000" sheet="1" objects="1" scenarios="1"/>
  <mergeCells count="24">
    <mergeCell ref="M17:P17"/>
    <mergeCell ref="M12:P12"/>
    <mergeCell ref="M13:P13"/>
    <mergeCell ref="M14:P14"/>
    <mergeCell ref="M15:P15"/>
    <mergeCell ref="M16:P16"/>
    <mergeCell ref="M7:P7"/>
    <mergeCell ref="M8:P8"/>
    <mergeCell ref="M9:P9"/>
    <mergeCell ref="M10:P10"/>
    <mergeCell ref="M11:P11"/>
    <mergeCell ref="L2:P2"/>
    <mergeCell ref="M3:P3"/>
    <mergeCell ref="M4:P4"/>
    <mergeCell ref="M5:P5"/>
    <mergeCell ref="M6:P6"/>
    <mergeCell ref="I12:J12"/>
    <mergeCell ref="B2:E3"/>
    <mergeCell ref="B10:E10"/>
    <mergeCell ref="B11:D11"/>
    <mergeCell ref="B7:C7"/>
    <mergeCell ref="I3:J3"/>
    <mergeCell ref="I5:J9"/>
    <mergeCell ref="I11:J11"/>
  </mergeCells>
  <conditionalFormatting sqref="E11">
    <cfRule type="containsText" dxfId="23" priority="3" operator="containsText" text="anomalie">
      <formula>NOT(ISERROR(SEARCH("anomalie",E11)))</formula>
    </cfRule>
    <cfRule type="containsText" dxfId="22" priority="4" operator="containsText" text="conforme">
      <formula>NOT(ISERROR(SEARCH("conforme",E11)))</formula>
    </cfRule>
    <cfRule type="containsText" dxfId="21" priority="5" operator="containsText" text="OK">
      <formula>NOT(ISERROR(SEARCH("OK",E11)))</formula>
    </cfRule>
    <cfRule type="containsText" dxfId="20" priority="6" operator="containsText" text="Non conforme">
      <formula>NOT(ISERROR(SEARCH("Non conforme",E11)))</formula>
    </cfRule>
  </conditionalFormatting>
  <conditionalFormatting sqref="I5:J9">
    <cfRule type="expression" dxfId="19" priority="1">
      <formula>$H$10&gt;0</formula>
    </cfRule>
    <cfRule type="expression" dxfId="18" priority="2">
      <formula>$H$10=0</formula>
    </cfRule>
  </conditionalFormatting>
  <hyperlinks>
    <hyperlink ref="I3" location="'Outil contrôle encépagement'!A1" display="Retour à l'accueil" xr:uid="{C8C0C1CA-525C-4BF6-8072-C180E363BC8D}"/>
    <hyperlink ref="M3" location="'CR Rouge'!A1" display="Côtes du Roussillon Rouge" xr:uid="{5AC4103B-94BB-4A40-B433-DBC4942D9947}"/>
    <hyperlink ref="M4" location="'CR Rosé'!A1" display="Côtes du Roussillon Rosé" xr:uid="{32E93FE7-4969-4730-AD95-D2EC658546C8}"/>
    <hyperlink ref="M5" location="'CR Blanc'!A1" display="Côtes du Roussillon Blanc" xr:uid="{B31D4B4B-607E-42A0-B2F9-5B3D6810EA97}"/>
    <hyperlink ref="M6:P6" location="'CR Villages'!A1" display="Côtes du Roussillon Villages" xr:uid="{A7161BE2-A6E0-4A0A-9C31-A15DD1164E7F}"/>
    <hyperlink ref="M7:P7" location="'CR Villages Les Aspres'!A1" display="Côtes du Roussillon Villages Les Aspres" xr:uid="{C7028811-EF4F-46B9-92B2-F4BA9C8360CF}"/>
    <hyperlink ref="M8:P8" location="'CRV LATOUR DE FRANCE'!A1" display="Côtes du Roussillon Villages Latour de France" xr:uid="{3E751CF8-2DAE-483C-BA32-14A0E3150456}"/>
    <hyperlink ref="M9:P9" location="'CRV CARAMANY'!A1" display="Côtes du Roussillon Villages Caramany" xr:uid="{A0B5455C-09DC-4852-8CF0-482092EF92FF}"/>
    <hyperlink ref="M10:P10" location="'CRV LESQUERDE'!A1" display="Côtes du Roussillon Villages Lesquerde" xr:uid="{6EE610EB-5BB7-4CB0-9B6A-090EA68F3A5B}"/>
    <hyperlink ref="M11:P11" location="'CRV TAUTAVEL'!A1" display="Côtes du Roussillon Villages Tautavel" xr:uid="{C85C9DE5-B285-4BF2-94DB-A6142ACC9786}"/>
    <hyperlink ref="M12:P12" location="'MAURY SEC'!A1" display="Maury Sec" xr:uid="{63383046-EC36-4A74-B1C2-C1A4AE66D819}"/>
    <hyperlink ref="M13:P13" location="'MAURY Grenat ou Tuilé'!A1" display="Maury Grenat ou tuilé" xr:uid="{00F4B4D4-22A9-4AD4-BF93-DD648D21F87C}"/>
    <hyperlink ref="M14:P14" location="'MAURY Ambré ou Blanc'!A1" display="Maury Ambré ou Blanc" xr:uid="{9DADF129-CCC8-4D58-8146-A4EF5ABB5070}"/>
    <hyperlink ref="M15:P15" location="'Muscat de Riv.'!A1" display="Muscat de Rivesaltes" xr:uid="{0168B779-F5F8-4B1A-9D81-88C3604B06E9}"/>
    <hyperlink ref="M16:P16" location="'Rivesaltes Ambré, Rosé ou Tuilé'!A1" display="Rivesaltes Ambé, Rosé ou Tuilé" xr:uid="{E5F23054-ACB8-4094-81A5-6C6278C7B04D}"/>
    <hyperlink ref="M17:P17" location="'Rivesaltes Grenat'!A1" display="Rivesaltes Grenat" xr:uid="{860EA20C-0611-49F0-AE77-66426A70E608}"/>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R21"/>
  <sheetViews>
    <sheetView showGridLines="0" showRowColHeaders="0" zoomScale="120" zoomScaleNormal="120" workbookViewId="0">
      <selection activeCell="O15" sqref="O15:R15"/>
    </sheetView>
  </sheetViews>
  <sheetFormatPr baseColWidth="10" defaultRowHeight="15" x14ac:dyDescent="0.25"/>
  <cols>
    <col min="2" max="2" width="21.28515625" customWidth="1"/>
    <col min="3" max="3" width="15" customWidth="1"/>
    <col min="6" max="8" width="0" hidden="1" customWidth="1"/>
    <col min="9" max="9" width="5.85546875" style="38"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166</v>
      </c>
      <c r="C2" s="74"/>
      <c r="D2" s="74"/>
      <c r="E2" s="74"/>
      <c r="N2" s="92" t="s">
        <v>170</v>
      </c>
      <c r="O2" s="93"/>
      <c r="P2" s="93"/>
      <c r="Q2" s="93"/>
      <c r="R2" s="94"/>
    </row>
    <row r="3" spans="2:18" ht="18.75" x14ac:dyDescent="0.25">
      <c r="B3" s="75"/>
      <c r="C3" s="75"/>
      <c r="D3" s="75"/>
      <c r="E3" s="75"/>
      <c r="J3" s="72" t="s">
        <v>122</v>
      </c>
      <c r="K3" s="73"/>
      <c r="N3" s="50">
        <v>1</v>
      </c>
      <c r="O3" s="97" t="s">
        <v>107</v>
      </c>
      <c r="P3" s="97"/>
      <c r="Q3" s="97"/>
      <c r="R3" s="98"/>
    </row>
    <row r="4" spans="2:18" ht="30.75" thickBot="1" x14ac:dyDescent="0.3">
      <c r="B4" s="15" t="s">
        <v>7</v>
      </c>
      <c r="C4" s="16" t="s">
        <v>100</v>
      </c>
      <c r="D4" s="15" t="s">
        <v>8</v>
      </c>
      <c r="E4" s="15" t="s">
        <v>9</v>
      </c>
      <c r="F4" t="s">
        <v>43</v>
      </c>
      <c r="G4" s="1" t="s">
        <v>13</v>
      </c>
      <c r="H4" s="1" t="s">
        <v>14</v>
      </c>
      <c r="N4" s="50">
        <v>2</v>
      </c>
      <c r="O4" s="97" t="s">
        <v>109</v>
      </c>
      <c r="P4" s="97"/>
      <c r="Q4" s="97"/>
      <c r="R4" s="98"/>
    </row>
    <row r="5" spans="2:18" x14ac:dyDescent="0.25">
      <c r="B5" s="36" t="s">
        <v>19</v>
      </c>
      <c r="C5" s="5" t="s">
        <v>11</v>
      </c>
      <c r="D5" s="14">
        <v>0.6</v>
      </c>
      <c r="E5" s="8">
        <f>D5*100/D12</f>
        <v>100</v>
      </c>
      <c r="F5" s="4">
        <f>ROUND(E5,2)</f>
        <v>100</v>
      </c>
      <c r="G5">
        <f>IF(C5="P",F5,0)</f>
        <v>100</v>
      </c>
      <c r="H5">
        <f>IF(C5="A",F5,0)</f>
        <v>0</v>
      </c>
      <c r="J5" s="83" t="str">
        <f>IF(I15=0,"Encépagement conforme aux règles du Cahier des Charges","Encépagement NON conforme aux règles du Cahier des Charges")</f>
        <v>Encépagement conforme aux règles du Cahier des Charges</v>
      </c>
      <c r="K5" s="84"/>
      <c r="N5" s="50">
        <v>3</v>
      </c>
      <c r="O5" s="97" t="s">
        <v>110</v>
      </c>
      <c r="P5" s="97"/>
      <c r="Q5" s="97"/>
      <c r="R5" s="98"/>
    </row>
    <row r="6" spans="2:18" x14ac:dyDescent="0.25">
      <c r="B6" s="36" t="s">
        <v>44</v>
      </c>
      <c r="C6" s="5" t="s">
        <v>11</v>
      </c>
      <c r="D6" s="14"/>
      <c r="E6" s="8">
        <f>D6*100/D12</f>
        <v>0</v>
      </c>
      <c r="F6" s="4">
        <f>ROUND(E6,2)</f>
        <v>0</v>
      </c>
      <c r="G6">
        <f t="shared" ref="G6:G11" si="0">IF(C6="P",F6,0)</f>
        <v>0</v>
      </c>
      <c r="H6">
        <f t="shared" ref="H6:H11" si="1">IF(C6="A",F6,0)</f>
        <v>0</v>
      </c>
      <c r="J6" s="85"/>
      <c r="K6" s="86"/>
      <c r="N6" s="50">
        <v>4</v>
      </c>
      <c r="O6" s="99" t="s">
        <v>108</v>
      </c>
      <c r="P6" s="99"/>
      <c r="Q6" s="99"/>
      <c r="R6" s="100"/>
    </row>
    <row r="7" spans="2:18" x14ac:dyDescent="0.25">
      <c r="B7" s="36" t="s">
        <v>1</v>
      </c>
      <c r="C7" s="5" t="s">
        <v>11</v>
      </c>
      <c r="D7" s="14"/>
      <c r="E7" s="8">
        <f>D7*100/D12</f>
        <v>0</v>
      </c>
      <c r="F7" s="4">
        <f t="shared" ref="F7:F11" si="2">ROUND(E7,2)</f>
        <v>0</v>
      </c>
      <c r="G7">
        <f t="shared" si="0"/>
        <v>0</v>
      </c>
      <c r="H7">
        <f t="shared" si="1"/>
        <v>0</v>
      </c>
      <c r="J7" s="85"/>
      <c r="K7" s="86"/>
      <c r="N7" s="50">
        <v>5</v>
      </c>
      <c r="O7" s="99" t="s">
        <v>111</v>
      </c>
      <c r="P7" s="99"/>
      <c r="Q7" s="99"/>
      <c r="R7" s="100"/>
    </row>
    <row r="8" spans="2:18" x14ac:dyDescent="0.25">
      <c r="B8" s="36" t="s">
        <v>6</v>
      </c>
      <c r="C8" s="5" t="s">
        <v>11</v>
      </c>
      <c r="D8" s="14"/>
      <c r="E8" s="8">
        <f>D8*100/D12</f>
        <v>0</v>
      </c>
      <c r="F8" s="4">
        <f t="shared" si="2"/>
        <v>0</v>
      </c>
      <c r="G8">
        <f t="shared" si="0"/>
        <v>0</v>
      </c>
      <c r="H8">
        <f t="shared" si="1"/>
        <v>0</v>
      </c>
      <c r="J8" s="85"/>
      <c r="K8" s="86"/>
      <c r="N8" s="50">
        <v>6</v>
      </c>
      <c r="O8" s="99" t="s">
        <v>112</v>
      </c>
      <c r="P8" s="99"/>
      <c r="Q8" s="99"/>
      <c r="R8" s="100"/>
    </row>
    <row r="9" spans="2:18" ht="15.75" thickBot="1" x14ac:dyDescent="0.3">
      <c r="B9" s="36" t="s">
        <v>21</v>
      </c>
      <c r="C9" s="5" t="s">
        <v>11</v>
      </c>
      <c r="D9" s="14"/>
      <c r="E9" s="8">
        <f>D9*100/D12</f>
        <v>0</v>
      </c>
      <c r="F9" s="4">
        <f t="shared" si="2"/>
        <v>0</v>
      </c>
      <c r="G9">
        <f t="shared" si="0"/>
        <v>0</v>
      </c>
      <c r="H9">
        <f t="shared" si="1"/>
        <v>0</v>
      </c>
      <c r="J9" s="87"/>
      <c r="K9" s="88"/>
      <c r="N9" s="50">
        <v>7</v>
      </c>
      <c r="O9" s="99" t="s">
        <v>113</v>
      </c>
      <c r="P9" s="99"/>
      <c r="Q9" s="99"/>
      <c r="R9" s="100"/>
    </row>
    <row r="10" spans="2:18" x14ac:dyDescent="0.25">
      <c r="B10" s="36" t="s">
        <v>45</v>
      </c>
      <c r="C10" s="5" t="s">
        <v>12</v>
      </c>
      <c r="D10" s="14"/>
      <c r="E10" s="8">
        <f>D10*100/D12</f>
        <v>0</v>
      </c>
      <c r="F10" s="4">
        <f t="shared" si="2"/>
        <v>0</v>
      </c>
      <c r="G10">
        <f t="shared" si="0"/>
        <v>0</v>
      </c>
      <c r="H10">
        <f t="shared" si="1"/>
        <v>0</v>
      </c>
      <c r="N10" s="50">
        <v>8</v>
      </c>
      <c r="O10" s="99" t="s">
        <v>114</v>
      </c>
      <c r="P10" s="99"/>
      <c r="Q10" s="99"/>
      <c r="R10" s="100"/>
    </row>
    <row r="11" spans="2:18" x14ac:dyDescent="0.25">
      <c r="B11" s="36" t="s">
        <v>46</v>
      </c>
      <c r="C11" s="5" t="s">
        <v>12</v>
      </c>
      <c r="D11" s="14"/>
      <c r="E11" s="8">
        <f>D11*100/D12</f>
        <v>0</v>
      </c>
      <c r="F11" s="4">
        <f t="shared" si="2"/>
        <v>0</v>
      </c>
      <c r="G11">
        <f t="shared" si="0"/>
        <v>0</v>
      </c>
      <c r="H11">
        <f t="shared" si="1"/>
        <v>0</v>
      </c>
      <c r="J11" s="110"/>
      <c r="K11" s="110"/>
      <c r="L11" s="43"/>
      <c r="N11" s="50">
        <v>9</v>
      </c>
      <c r="O11" s="99" t="s">
        <v>115</v>
      </c>
      <c r="P11" s="99"/>
      <c r="Q11" s="99"/>
      <c r="R11" s="100"/>
    </row>
    <row r="12" spans="2:18" x14ac:dyDescent="0.25">
      <c r="B12" s="81" t="s">
        <v>10</v>
      </c>
      <c r="C12" s="82"/>
      <c r="D12" s="12">
        <f>SUM(D5:D11)</f>
        <v>0.6</v>
      </c>
      <c r="E12" s="20">
        <f>SUM(E5:E11)</f>
        <v>100</v>
      </c>
      <c r="F12" s="4">
        <f>SUM(F5:F11)</f>
        <v>100</v>
      </c>
      <c r="G12">
        <f>SUM(G5:G11)</f>
        <v>100</v>
      </c>
      <c r="H12">
        <f>SUM(H5:H11)</f>
        <v>0</v>
      </c>
      <c r="J12" s="110"/>
      <c r="K12" s="110"/>
      <c r="L12" s="43"/>
      <c r="N12" s="50">
        <v>10</v>
      </c>
      <c r="O12" s="99" t="s">
        <v>116</v>
      </c>
      <c r="P12" s="99"/>
      <c r="Q12" s="99"/>
      <c r="R12" s="100"/>
    </row>
    <row r="13" spans="2:18" x14ac:dyDescent="0.25">
      <c r="D13" s="38">
        <f>COUNT(D5:D10)</f>
        <v>1</v>
      </c>
      <c r="N13" s="50">
        <v>11</v>
      </c>
      <c r="O13" s="99" t="s">
        <v>117</v>
      </c>
      <c r="P13" s="99"/>
      <c r="Q13" s="99"/>
      <c r="R13" s="100"/>
    </row>
    <row r="14" spans="2:18" ht="15.75" thickBot="1" x14ac:dyDescent="0.3">
      <c r="J14" s="91" t="s">
        <v>103</v>
      </c>
      <c r="K14" s="91"/>
      <c r="L14" s="27">
        <f>(E9+E5+E6+E7+E8)/100</f>
        <v>1</v>
      </c>
      <c r="N14" s="50">
        <v>12</v>
      </c>
      <c r="O14" s="99" t="s">
        <v>118</v>
      </c>
      <c r="P14" s="99"/>
      <c r="Q14" s="99"/>
      <c r="R14" s="100"/>
    </row>
    <row r="15" spans="2:18" ht="16.5" thickBot="1" x14ac:dyDescent="0.3">
      <c r="B15" s="78" t="s">
        <v>71</v>
      </c>
      <c r="C15" s="79"/>
      <c r="D15" s="79"/>
      <c r="E15" s="80"/>
      <c r="I15" s="38">
        <f>SUM(I16:I17)</f>
        <v>0</v>
      </c>
      <c r="J15" s="91" t="s">
        <v>104</v>
      </c>
      <c r="K15" s="91"/>
      <c r="L15" s="26">
        <f>(E10+E11)/100</f>
        <v>0</v>
      </c>
      <c r="N15" s="50">
        <v>13</v>
      </c>
      <c r="O15" s="99" t="s">
        <v>119</v>
      </c>
      <c r="P15" s="99"/>
      <c r="Q15" s="99"/>
      <c r="R15" s="100"/>
    </row>
    <row r="16" spans="2:18" x14ac:dyDescent="0.25">
      <c r="B16" s="108" t="s">
        <v>162</v>
      </c>
      <c r="C16" s="109"/>
      <c r="D16" s="109"/>
      <c r="E16" s="19" t="str">
        <f>IF(D13&gt;=1,"conforme","anomalie" )</f>
        <v>conforme</v>
      </c>
      <c r="I16" s="18">
        <f>IF(E16="conforme",0,1)</f>
        <v>0</v>
      </c>
      <c r="N16" s="50">
        <v>14</v>
      </c>
      <c r="O16" s="99" t="s">
        <v>120</v>
      </c>
      <c r="P16" s="99"/>
      <c r="Q16" s="99"/>
      <c r="R16" s="100"/>
    </row>
    <row r="17" spans="2:18" ht="31.5" customHeight="1" thickBot="1" x14ac:dyDescent="0.3">
      <c r="B17" s="105" t="s">
        <v>165</v>
      </c>
      <c r="C17" s="106"/>
      <c r="D17" s="107"/>
      <c r="E17" s="11" t="str">
        <f>IF(H12&lt;=20,"conforme","anomalie" )</f>
        <v>conforme</v>
      </c>
      <c r="I17" s="18">
        <f>IF(E17="conforme",0,1)</f>
        <v>0</v>
      </c>
      <c r="N17" s="51">
        <v>15</v>
      </c>
      <c r="O17" s="95" t="s">
        <v>121</v>
      </c>
      <c r="P17" s="95"/>
      <c r="Q17" s="95"/>
      <c r="R17" s="96"/>
    </row>
    <row r="19" spans="2:18" x14ac:dyDescent="0.25">
      <c r="B19" t="s">
        <v>78</v>
      </c>
    </row>
    <row r="20" spans="2:18" x14ac:dyDescent="0.25">
      <c r="B20" t="s">
        <v>80</v>
      </c>
    </row>
    <row r="21" spans="2:18" x14ac:dyDescent="0.25">
      <c r="B21" t="s">
        <v>79</v>
      </c>
    </row>
  </sheetData>
  <sheetProtection algorithmName="SHA-512" hashValue="FAq78qkVG2D4tw8EKwg6Ilo1+BjEJ7N1VpZL2TmIiJzF981QploldbFJRX6MstE+iBb3Ei3NN2fKTpczlztRBw==" saltValue="P1cGNrjaDNLSaul/6Vs/Dw==" spinCount="100000" sheet="1" objects="1" scenarios="1"/>
  <mergeCells count="27">
    <mergeCell ref="O17:R17"/>
    <mergeCell ref="O12:R12"/>
    <mergeCell ref="O13:R13"/>
    <mergeCell ref="O14:R14"/>
    <mergeCell ref="O15:R15"/>
    <mergeCell ref="O16:R16"/>
    <mergeCell ref="O7:R7"/>
    <mergeCell ref="O8:R8"/>
    <mergeCell ref="O9:R9"/>
    <mergeCell ref="O10:R10"/>
    <mergeCell ref="O11:R11"/>
    <mergeCell ref="N2:R2"/>
    <mergeCell ref="O3:R3"/>
    <mergeCell ref="O4:R4"/>
    <mergeCell ref="O5:R5"/>
    <mergeCell ref="O6:R6"/>
    <mergeCell ref="B15:E15"/>
    <mergeCell ref="B16:D16"/>
    <mergeCell ref="B17:D17"/>
    <mergeCell ref="B12:C12"/>
    <mergeCell ref="J3:K3"/>
    <mergeCell ref="J5:K9"/>
    <mergeCell ref="J11:K11"/>
    <mergeCell ref="J12:K12"/>
    <mergeCell ref="J14:K14"/>
    <mergeCell ref="J15:K15"/>
    <mergeCell ref="B2:E3"/>
  </mergeCells>
  <conditionalFormatting sqref="E16">
    <cfRule type="containsText" dxfId="17" priority="7" operator="containsText" text="anomalie">
      <formula>NOT(ISERROR(SEARCH("anomalie",E16)))</formula>
    </cfRule>
    <cfRule type="containsText" dxfId="16" priority="8" operator="containsText" text="conforme">
      <formula>NOT(ISERROR(SEARCH("conforme",E16)))</formula>
    </cfRule>
    <cfRule type="containsText" dxfId="15" priority="9" operator="containsText" text="OK">
      <formula>NOT(ISERROR(SEARCH("OK",E16)))</formula>
    </cfRule>
    <cfRule type="containsText" dxfId="14" priority="10" operator="containsText" text="Non conforme">
      <formula>NOT(ISERROR(SEARCH("Non conforme",E16)))</formula>
    </cfRule>
  </conditionalFormatting>
  <conditionalFormatting sqref="E17">
    <cfRule type="containsText" dxfId="13" priority="3" operator="containsText" text="anomalie">
      <formula>NOT(ISERROR(SEARCH("anomalie",E17)))</formula>
    </cfRule>
    <cfRule type="containsText" dxfId="12" priority="4" operator="containsText" text="conforme">
      <formula>NOT(ISERROR(SEARCH("conforme",E17)))</formula>
    </cfRule>
    <cfRule type="containsText" dxfId="11" priority="5" operator="containsText" text="OK">
      <formula>NOT(ISERROR(SEARCH("OK",E17)))</formula>
    </cfRule>
    <cfRule type="containsText" dxfId="10" priority="6" operator="containsText" text="Non conforme">
      <formula>NOT(ISERROR(SEARCH("Non conforme",E17)))</formula>
    </cfRule>
  </conditionalFormatting>
  <conditionalFormatting sqref="J5:K9">
    <cfRule type="expression" dxfId="9" priority="52">
      <formula>$I$15&gt;0</formula>
    </cfRule>
    <cfRule type="expression" dxfId="8" priority="53">
      <formula>$I$15=0</formula>
    </cfRule>
  </conditionalFormatting>
  <hyperlinks>
    <hyperlink ref="J3" location="'Outil contrôle encépagement'!A1" display="Retour à l'accueil" xr:uid="{968CA11F-9730-497A-95F1-CFD847F4B45A}"/>
    <hyperlink ref="O3" location="'CR Rouge'!A1" display="Côtes du Roussillon Rouge" xr:uid="{F542B87D-66D6-4714-BF1E-30019CAED499}"/>
    <hyperlink ref="O4" location="'CR Rosé'!A1" display="Côtes du Roussillon Rosé" xr:uid="{5CEFB61E-C362-4E05-9778-CF71A37906B8}"/>
    <hyperlink ref="O5" location="'CR Blanc'!A1" display="Côtes du Roussillon Blanc" xr:uid="{9816F925-7F1F-4606-BEBA-5510D94E198B}"/>
    <hyperlink ref="O6:R6" location="'CR Villages'!A1" display="Côtes du Roussillon Villages" xr:uid="{F9D97602-9FAA-42ED-A473-014BAE30FD9C}"/>
    <hyperlink ref="O7:R7" location="'CR Villages Les Aspres'!A1" display="Côtes du Roussillon Villages Les Aspres" xr:uid="{D6B5C8AF-EA25-4041-A513-CD62FCAA3827}"/>
    <hyperlink ref="O8:R8" location="'CRV LATOUR DE FRANCE'!A1" display="Côtes du Roussillon Villages Latour de France" xr:uid="{AF94EC2E-E210-4EB3-9AB7-0B598ED078BF}"/>
    <hyperlink ref="O9:R9" location="'CRV CARAMANY'!A1" display="Côtes du Roussillon Villages Caramany" xr:uid="{67E163D5-43FF-48BF-A49D-3157B7BD1295}"/>
    <hyperlink ref="O10:R10" location="'CRV LESQUERDE'!A1" display="Côtes du Roussillon Villages Lesquerde" xr:uid="{E511DFD6-0F10-482D-9791-923570E10691}"/>
    <hyperlink ref="O11:R11" location="'CRV TAUTAVEL'!A1" display="Côtes du Roussillon Villages Tautavel" xr:uid="{F6AA34CB-9DC1-4073-BC79-17E17F34C552}"/>
    <hyperlink ref="O12:R12" location="'MAURY SEC'!A1" display="Maury Sec" xr:uid="{620D6D1F-9668-4D5E-9187-1D04197B931F}"/>
    <hyperlink ref="O13:R13" location="'MAURY Grenat ou Tuilé'!A1" display="Maury Grenat ou tuilé" xr:uid="{BF390B6B-5B25-4B5C-887B-A8008360DAFD}"/>
    <hyperlink ref="O14:R14" location="'MAURY Ambré ou Blanc'!A1" display="Maury Ambré ou Blanc" xr:uid="{5CBAB33A-1A49-450F-9C7F-51F7787BCC50}"/>
    <hyperlink ref="O15:R15" location="'Muscat de Riv.'!A1" display="Muscat de Rivesaltes" xr:uid="{C0CC4268-F4DF-42F3-9F0C-6DA01694B1FF}"/>
    <hyperlink ref="O16:R16" location="'Rivesaltes Ambré, Rosé ou Tuilé'!A1" display="Rivesaltes Ambé, Rosé ou Tuilé" xr:uid="{4BB0FA01-C613-4423-85EB-73E4B7E2D581}"/>
    <hyperlink ref="O17:R17" location="'Rivesaltes Grenat'!A1" display="Rivesaltes Grenat" xr:uid="{256269BB-53A2-4255-A4F8-2E231536B35A}"/>
  </hyperlink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Q17"/>
  <sheetViews>
    <sheetView showGridLines="0" showRowColHeaders="0" zoomScale="120" zoomScaleNormal="120" workbookViewId="0">
      <selection activeCell="N16" sqref="N16:Q16"/>
    </sheetView>
  </sheetViews>
  <sheetFormatPr baseColWidth="10" defaultRowHeight="15" x14ac:dyDescent="0.25"/>
  <cols>
    <col min="2" max="2" width="12.5703125" customWidth="1"/>
    <col min="6" max="7" width="0" hidden="1" customWidth="1"/>
    <col min="8" max="8" width="6" style="39" customWidth="1"/>
    <col min="13" max="13" width="3.42578125" bestFit="1" customWidth="1"/>
    <col min="14" max="14" width="8.85546875" customWidth="1"/>
    <col min="15" max="15" width="10" customWidth="1"/>
    <col min="16" max="16" width="10.7109375" customWidth="1"/>
    <col min="17" max="17" width="6.5703125" customWidth="1"/>
  </cols>
  <sheetData>
    <row r="1" spans="2:17" ht="8.25" customHeight="1" thickBot="1" x14ac:dyDescent="0.3"/>
    <row r="2" spans="2:17" ht="18.75" x14ac:dyDescent="0.3">
      <c r="B2" s="74" t="s">
        <v>167</v>
      </c>
      <c r="C2" s="74"/>
      <c r="D2" s="74"/>
      <c r="E2" s="74"/>
      <c r="M2" s="92" t="s">
        <v>170</v>
      </c>
      <c r="N2" s="93"/>
      <c r="O2" s="93"/>
      <c r="P2" s="93"/>
      <c r="Q2" s="94"/>
    </row>
    <row r="3" spans="2:17" ht="18.75" x14ac:dyDescent="0.25">
      <c r="B3" s="75"/>
      <c r="C3" s="75"/>
      <c r="D3" s="75"/>
      <c r="E3" s="75"/>
      <c r="I3" s="72" t="s">
        <v>122</v>
      </c>
      <c r="J3" s="73"/>
      <c r="M3" s="50">
        <v>1</v>
      </c>
      <c r="N3" s="97" t="s">
        <v>107</v>
      </c>
      <c r="O3" s="97"/>
      <c r="P3" s="97"/>
      <c r="Q3" s="98"/>
    </row>
    <row r="4" spans="2:17" ht="30.75" thickBot="1" x14ac:dyDescent="0.3">
      <c r="B4" s="15" t="s">
        <v>7</v>
      </c>
      <c r="C4" s="16" t="s">
        <v>163</v>
      </c>
      <c r="D4" s="15" t="s">
        <v>8</v>
      </c>
      <c r="E4" s="15" t="s">
        <v>9</v>
      </c>
      <c r="F4" t="s">
        <v>43</v>
      </c>
      <c r="G4" s="1" t="s">
        <v>13</v>
      </c>
      <c r="M4" s="50">
        <v>2</v>
      </c>
      <c r="N4" s="97" t="s">
        <v>109</v>
      </c>
      <c r="O4" s="97"/>
      <c r="P4" s="97"/>
      <c r="Q4" s="98"/>
    </row>
    <row r="5" spans="2:17" x14ac:dyDescent="0.25">
      <c r="B5" s="36" t="s">
        <v>1</v>
      </c>
      <c r="C5" s="5" t="s">
        <v>11</v>
      </c>
      <c r="D5" s="14">
        <v>1</v>
      </c>
      <c r="E5" s="8">
        <f>D5*100/D6</f>
        <v>100</v>
      </c>
      <c r="F5" s="4">
        <f>ROUND(E5,2)</f>
        <v>100</v>
      </c>
      <c r="G5">
        <f t="shared" ref="G5" si="0">IF(C5="P",F5,0)</f>
        <v>100</v>
      </c>
      <c r="I5" s="83" t="str">
        <f>IF(H9=0,"Encépagement conforme aux règles du Cahier des Charges","Encépagement NON conforme aux règles du Cahier des Charges")</f>
        <v>Encépagement conforme aux règles du Cahier des Charges</v>
      </c>
      <c r="J5" s="84"/>
      <c r="M5" s="50">
        <v>3</v>
      </c>
      <c r="N5" s="97" t="s">
        <v>110</v>
      </c>
      <c r="O5" s="97"/>
      <c r="P5" s="97"/>
      <c r="Q5" s="98"/>
    </row>
    <row r="6" spans="2:17" x14ac:dyDescent="0.25">
      <c r="B6" s="81" t="s">
        <v>10</v>
      </c>
      <c r="C6" s="82"/>
      <c r="D6" s="12">
        <f>SUM(D5:D5)</f>
        <v>1</v>
      </c>
      <c r="E6" s="20">
        <f>SUM(E5:E5)</f>
        <v>100</v>
      </c>
      <c r="F6">
        <f>SUM(F5:F5)</f>
        <v>100</v>
      </c>
      <c r="G6">
        <f>SUM(G5:G5)</f>
        <v>100</v>
      </c>
      <c r="I6" s="85"/>
      <c r="J6" s="86"/>
      <c r="M6" s="50">
        <v>4</v>
      </c>
      <c r="N6" s="99" t="s">
        <v>108</v>
      </c>
      <c r="O6" s="99"/>
      <c r="P6" s="99"/>
      <c r="Q6" s="100"/>
    </row>
    <row r="7" spans="2:17" x14ac:dyDescent="0.25">
      <c r="D7" s="38">
        <f>COUNT(D5:D5)</f>
        <v>1</v>
      </c>
      <c r="F7">
        <f>MAX(F5:F5)</f>
        <v>100</v>
      </c>
      <c r="I7" s="85"/>
      <c r="J7" s="86"/>
      <c r="M7" s="50">
        <v>5</v>
      </c>
      <c r="N7" s="99" t="s">
        <v>111</v>
      </c>
      <c r="O7" s="99"/>
      <c r="P7" s="99"/>
      <c r="Q7" s="100"/>
    </row>
    <row r="8" spans="2:17" ht="15.75" thickBot="1" x14ac:dyDescent="0.3">
      <c r="I8" s="85"/>
      <c r="J8" s="86"/>
      <c r="M8" s="50">
        <v>6</v>
      </c>
      <c r="N8" s="99" t="s">
        <v>112</v>
      </c>
      <c r="O8" s="99"/>
      <c r="P8" s="99"/>
      <c r="Q8" s="100"/>
    </row>
    <row r="9" spans="2:17" ht="16.5" thickBot="1" x14ac:dyDescent="0.3">
      <c r="B9" s="78" t="s">
        <v>71</v>
      </c>
      <c r="C9" s="79"/>
      <c r="D9" s="79"/>
      <c r="E9" s="80"/>
      <c r="H9" s="38">
        <f>SUM(H10)</f>
        <v>0</v>
      </c>
      <c r="I9" s="87"/>
      <c r="J9" s="88"/>
      <c r="M9" s="50">
        <v>7</v>
      </c>
      <c r="N9" s="99" t="s">
        <v>113</v>
      </c>
      <c r="O9" s="99"/>
      <c r="P9" s="99"/>
      <c r="Q9" s="100"/>
    </row>
    <row r="10" spans="2:17" ht="15.75" thickBot="1" x14ac:dyDescent="0.3">
      <c r="B10" s="105" t="s">
        <v>47</v>
      </c>
      <c r="C10" s="106"/>
      <c r="D10" s="107"/>
      <c r="E10" s="11" t="str">
        <f>IF(E6=100,"conforme","anomalie" )</f>
        <v>conforme</v>
      </c>
      <c r="H10" s="18">
        <f>IF(E10="conforme",0,1)</f>
        <v>0</v>
      </c>
      <c r="M10" s="50">
        <v>8</v>
      </c>
      <c r="N10" s="99" t="s">
        <v>114</v>
      </c>
      <c r="O10" s="99"/>
      <c r="P10" s="99"/>
      <c r="Q10" s="100"/>
    </row>
    <row r="11" spans="2:17" x14ac:dyDescent="0.25">
      <c r="H11" s="44"/>
      <c r="I11" s="91" t="s">
        <v>103</v>
      </c>
      <c r="J11" s="91"/>
      <c r="K11" s="27">
        <f>(E5)/100</f>
        <v>1</v>
      </c>
      <c r="M11" s="50">
        <v>9</v>
      </c>
      <c r="N11" s="99" t="s">
        <v>115</v>
      </c>
      <c r="O11" s="99"/>
      <c r="P11" s="99"/>
      <c r="Q11" s="100"/>
    </row>
    <row r="12" spans="2:17" x14ac:dyDescent="0.25">
      <c r="B12" t="s">
        <v>78</v>
      </c>
      <c r="I12" s="91"/>
      <c r="J12" s="91"/>
      <c r="K12" s="26"/>
      <c r="M12" s="50">
        <v>10</v>
      </c>
      <c r="N12" s="99" t="s">
        <v>116</v>
      </c>
      <c r="O12" s="99"/>
      <c r="P12" s="99"/>
      <c r="Q12" s="100"/>
    </row>
    <row r="13" spans="2:17" x14ac:dyDescent="0.25">
      <c r="B13" t="s">
        <v>80</v>
      </c>
      <c r="M13" s="50">
        <v>11</v>
      </c>
      <c r="N13" s="99" t="s">
        <v>117</v>
      </c>
      <c r="O13" s="99"/>
      <c r="P13" s="99"/>
      <c r="Q13" s="100"/>
    </row>
    <row r="14" spans="2:17" x14ac:dyDescent="0.25">
      <c r="B14" t="s">
        <v>79</v>
      </c>
      <c r="M14" s="50">
        <v>12</v>
      </c>
      <c r="N14" s="99" t="s">
        <v>118</v>
      </c>
      <c r="O14" s="99"/>
      <c r="P14" s="99"/>
      <c r="Q14" s="100"/>
    </row>
    <row r="15" spans="2:17" x14ac:dyDescent="0.25">
      <c r="M15" s="50">
        <v>13</v>
      </c>
      <c r="N15" s="99" t="s">
        <v>119</v>
      </c>
      <c r="O15" s="99"/>
      <c r="P15" s="99"/>
      <c r="Q15" s="100"/>
    </row>
    <row r="16" spans="2:17" x14ac:dyDescent="0.25">
      <c r="M16" s="50">
        <v>14</v>
      </c>
      <c r="N16" s="99" t="s">
        <v>120</v>
      </c>
      <c r="O16" s="99"/>
      <c r="P16" s="99"/>
      <c r="Q16" s="100"/>
    </row>
    <row r="17" spans="13:17" ht="15.75" thickBot="1" x14ac:dyDescent="0.3">
      <c r="M17" s="51">
        <v>15</v>
      </c>
      <c r="N17" s="95" t="s">
        <v>121</v>
      </c>
      <c r="O17" s="95"/>
      <c r="P17" s="95"/>
      <c r="Q17" s="96"/>
    </row>
  </sheetData>
  <sheetProtection algorithmName="SHA-512" hashValue="aMfqJ3EJkWQAuyLcljTZcKwN/TxWUxfz+kf0VXFp1uNNI9c5N4LJDovwGbiop9VGztk/N0asNisW/qk71W4GlQ==" saltValue="QAwuoMDEZteB7jlJpsE1ng==" spinCount="100000" sheet="1" objects="1" scenarios="1"/>
  <mergeCells count="24">
    <mergeCell ref="N15:Q15"/>
    <mergeCell ref="N16:Q16"/>
    <mergeCell ref="N17:Q17"/>
    <mergeCell ref="N9:Q9"/>
    <mergeCell ref="N10:Q10"/>
    <mergeCell ref="N11:Q11"/>
    <mergeCell ref="N13:Q13"/>
    <mergeCell ref="N14:Q14"/>
    <mergeCell ref="N12:Q12"/>
    <mergeCell ref="I11:J11"/>
    <mergeCell ref="I12:J12"/>
    <mergeCell ref="B2:E3"/>
    <mergeCell ref="M2:Q2"/>
    <mergeCell ref="N3:Q3"/>
    <mergeCell ref="N4:Q4"/>
    <mergeCell ref="N5:Q5"/>
    <mergeCell ref="N6:Q6"/>
    <mergeCell ref="B6:C6"/>
    <mergeCell ref="B9:E9"/>
    <mergeCell ref="B10:D10"/>
    <mergeCell ref="I3:J3"/>
    <mergeCell ref="I5:J9"/>
    <mergeCell ref="N7:Q7"/>
    <mergeCell ref="N8:Q8"/>
  </mergeCells>
  <conditionalFormatting sqref="F8">
    <cfRule type="containsText" dxfId="7" priority="16" operator="containsText" text="OK">
      <formula>NOT(ISERROR(SEARCH("OK",F8)))</formula>
    </cfRule>
    <cfRule type="containsText" dxfId="6" priority="17" operator="containsText" text="Non conforme">
      <formula>NOT(ISERROR(SEARCH("Non conforme",F8)))</formula>
    </cfRule>
  </conditionalFormatting>
  <conditionalFormatting sqref="E10">
    <cfRule type="containsText" dxfId="5" priority="3" operator="containsText" text="anomalie">
      <formula>NOT(ISERROR(SEARCH("anomalie",E10)))</formula>
    </cfRule>
    <cfRule type="containsText" dxfId="4" priority="4" operator="containsText" text="conforme">
      <formula>NOT(ISERROR(SEARCH("conforme",E10)))</formula>
    </cfRule>
    <cfRule type="containsText" dxfId="3" priority="5" operator="containsText" text="OK">
      <formula>NOT(ISERROR(SEARCH("OK",E10)))</formula>
    </cfRule>
    <cfRule type="containsText" dxfId="2" priority="6" operator="containsText" text="Non conforme">
      <formula>NOT(ISERROR(SEARCH("Non conforme",E10)))</formula>
    </cfRule>
  </conditionalFormatting>
  <conditionalFormatting sqref="I5:J9">
    <cfRule type="expression" dxfId="1" priority="1">
      <formula>$H$9&gt;0</formula>
    </cfRule>
    <cfRule type="expression" dxfId="0" priority="2">
      <formula>$H$9=0</formula>
    </cfRule>
  </conditionalFormatting>
  <hyperlinks>
    <hyperlink ref="I3" location="'Outil contrôle encépagement'!A1" display="Retour à l'accueil" xr:uid="{C7A2E38B-BFBD-48BB-976B-957BABC70238}"/>
    <hyperlink ref="N3" location="'CR Rouge'!A1" display="Côtes du Roussillon Rouge" xr:uid="{C4D83E7C-A38F-4DDC-A63F-C73BF64775BE}"/>
    <hyperlink ref="N4" location="'CR Rosé'!A1" display="Côtes du Roussillon Rosé" xr:uid="{4820E4ED-17A4-4C6A-9CD0-752C19AB8A25}"/>
    <hyperlink ref="N5" location="'CR Blanc'!A1" display="Côtes du Roussillon Blanc" xr:uid="{A7CCF8E3-D453-4A32-95F7-17567D2942F9}"/>
    <hyperlink ref="N6:Q6" location="'CR Villages'!A1" display="Côtes du Roussillon Villages" xr:uid="{8C3EB7D5-3E1B-4C88-87B0-683341F29A13}"/>
    <hyperlink ref="N7:Q7" location="'CR Villages Les Aspres'!A1" display="Côtes du Roussillon Villages Les Aspres" xr:uid="{CC4E4204-D8A9-4C42-A29D-215AAA2D7F3F}"/>
    <hyperlink ref="N8:Q8" location="'CRV LATOUR DE FRANCE'!A1" display="Côtes du Roussillon Villages Latour de France" xr:uid="{D0D08079-9B79-458D-81B1-E43AEFAEA25C}"/>
    <hyperlink ref="N9:Q9" location="'CRV CARAMANY'!A1" display="Côtes du Roussillon Villages Caramany" xr:uid="{5827633F-8E8C-4E7D-9040-9BB80E4EEBCC}"/>
    <hyperlink ref="N10:Q10" location="'CRV LESQUERDE'!A1" display="Côtes du Roussillon Villages Lesquerde" xr:uid="{4AB6BA80-E978-4313-9EDB-D303E5939833}"/>
    <hyperlink ref="N11:Q11" location="'CRV TAUTAVEL'!A1" display="Côtes du Roussillon Villages Tautavel" xr:uid="{8CA0E990-EBB5-46B2-A39B-871391B2CD5F}"/>
    <hyperlink ref="N12:Q12" location="'MAURY SEC'!A1" display="Maury Sec" xr:uid="{7136B509-EFC3-42B6-8CC6-E868BE76AC1F}"/>
    <hyperlink ref="N13:Q13" location="'MAURY Grenat ou Tuilé'!A1" display="Maury Grenat ou tuilé" xr:uid="{BF77814B-B6C5-4E23-8CAE-3DA61A0D75A9}"/>
    <hyperlink ref="N14:Q14" location="'MAURY Ambré ou Blanc'!A1" display="Maury Ambré ou Blanc" xr:uid="{ABD2F0DD-2467-4EC8-819F-3F9F38B039CA}"/>
    <hyperlink ref="N15:Q15" location="'Muscat de Riv.'!A1" display="Muscat de Rivesaltes" xr:uid="{8DBAFC37-D4F9-4ACA-9E02-DCB70A65B39B}"/>
    <hyperlink ref="N16:Q16" location="'Rivesaltes Ambré, Rosé ou Tuilé'!A1" display="Rivesaltes Ambé, Rosé ou Tuilé" xr:uid="{BFCDD3A8-A455-40A8-A23C-44AD12DEBA8B}"/>
    <hyperlink ref="N17:Q17" location="'Rivesaltes Grenat'!A1" display="Rivesaltes Grenat" xr:uid="{F909C0A8-B3BC-4DA7-BA90-DB377CA8064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showGridLines="0" showRowColHeaders="0" zoomScale="115" zoomScaleNormal="115" workbookViewId="0">
      <selection activeCell="D42" sqref="D42"/>
    </sheetView>
  </sheetViews>
  <sheetFormatPr baseColWidth="10" defaultRowHeight="15" x14ac:dyDescent="0.25"/>
  <cols>
    <col min="2" max="2" width="18.7109375" customWidth="1"/>
    <col min="3" max="3" width="13.7109375" customWidth="1"/>
    <col min="6" max="7" width="0" hidden="1" customWidth="1"/>
    <col min="8" max="8" width="13.42578125" hidden="1" customWidth="1"/>
    <col min="9" max="9" width="4.5703125" customWidth="1"/>
    <col min="14" max="14" width="3.42578125" bestFit="1" customWidth="1"/>
    <col min="15" max="15" width="8.85546875" customWidth="1"/>
    <col min="16" max="16" width="10" customWidth="1"/>
    <col min="17" max="17" width="10.7109375" customWidth="1"/>
    <col min="18" max="18" width="6.5703125" customWidth="1"/>
  </cols>
  <sheetData>
    <row r="1" spans="1:18" ht="15.75" thickBot="1" x14ac:dyDescent="0.3"/>
    <row r="2" spans="1:18" ht="15.75" customHeight="1" x14ac:dyDescent="0.3">
      <c r="B2" s="74" t="s">
        <v>130</v>
      </c>
      <c r="C2" s="74"/>
      <c r="D2" s="74"/>
      <c r="E2" s="74"/>
      <c r="N2" s="92" t="s">
        <v>170</v>
      </c>
      <c r="O2" s="93"/>
      <c r="P2" s="93"/>
      <c r="Q2" s="93"/>
      <c r="R2" s="94"/>
    </row>
    <row r="3" spans="1:18" ht="21.75" customHeight="1" x14ac:dyDescent="0.25">
      <c r="B3" s="75"/>
      <c r="C3" s="75"/>
      <c r="D3" s="75"/>
      <c r="E3" s="75"/>
      <c r="J3" s="72" t="s">
        <v>122</v>
      </c>
      <c r="K3" s="73"/>
      <c r="N3" s="50">
        <v>1</v>
      </c>
      <c r="O3" s="97" t="s">
        <v>107</v>
      </c>
      <c r="P3" s="97"/>
      <c r="Q3" s="97"/>
      <c r="R3" s="98"/>
    </row>
    <row r="4" spans="1:18" s="17" customFormat="1" ht="30.75" thickBot="1" x14ac:dyDescent="0.3">
      <c r="B4" s="16" t="s">
        <v>7</v>
      </c>
      <c r="C4" s="16" t="s">
        <v>77</v>
      </c>
      <c r="D4" s="16" t="s">
        <v>8</v>
      </c>
      <c r="E4" s="16" t="s">
        <v>9</v>
      </c>
      <c r="F4" s="16" t="s">
        <v>41</v>
      </c>
      <c r="G4" s="16" t="s">
        <v>13</v>
      </c>
      <c r="H4" s="16" t="s">
        <v>14</v>
      </c>
      <c r="N4" s="50">
        <v>2</v>
      </c>
      <c r="O4" s="97" t="s">
        <v>109</v>
      </c>
      <c r="P4" s="97"/>
      <c r="Q4" s="97"/>
      <c r="R4" s="98"/>
    </row>
    <row r="5" spans="1:18" x14ac:dyDescent="0.25">
      <c r="B5" s="36" t="s">
        <v>0</v>
      </c>
      <c r="C5" s="5" t="s">
        <v>11</v>
      </c>
      <c r="D5" s="14">
        <v>1</v>
      </c>
      <c r="E5" s="8">
        <f>D5*100/D11</f>
        <v>13.722126929674101</v>
      </c>
      <c r="F5" s="7">
        <f t="shared" ref="F5:F6" si="0">ROUND(E5,2)</f>
        <v>13.72</v>
      </c>
      <c r="G5" s="5">
        <f>IF(C5="P",F5,0)</f>
        <v>13.72</v>
      </c>
      <c r="H5" s="5">
        <f>IF(C5="A",E5,0)</f>
        <v>0</v>
      </c>
      <c r="J5" s="83" t="str">
        <f>IF(I13=0,"Encépagement conforme aux règles du Cahier des Charges","Encépagement NON conforme aux règles du Cahier des Charges")</f>
        <v>Encépagement conforme aux règles du Cahier des Charges</v>
      </c>
      <c r="K5" s="84"/>
      <c r="N5" s="50">
        <v>3</v>
      </c>
      <c r="O5" s="97" t="s">
        <v>110</v>
      </c>
      <c r="P5" s="97"/>
      <c r="Q5" s="97"/>
      <c r="R5" s="98"/>
    </row>
    <row r="6" spans="1:18" x14ac:dyDescent="0.25">
      <c r="B6" s="36" t="s">
        <v>1</v>
      </c>
      <c r="C6" s="5" t="s">
        <v>11</v>
      </c>
      <c r="D6" s="14">
        <v>2</v>
      </c>
      <c r="E6" s="8">
        <f>D6*100/D11</f>
        <v>27.444253859348201</v>
      </c>
      <c r="F6" s="7">
        <f t="shared" si="0"/>
        <v>27.44</v>
      </c>
      <c r="G6" s="5">
        <f t="shared" ref="G6:G10" si="1">IF(C6="P",F6,0)</f>
        <v>27.44</v>
      </c>
      <c r="H6" s="5">
        <f t="shared" ref="H6:H10" si="2">IF(C6="A",E6,0)</f>
        <v>0</v>
      </c>
      <c r="J6" s="85"/>
      <c r="K6" s="86"/>
      <c r="N6" s="50">
        <v>4</v>
      </c>
      <c r="O6" s="99" t="s">
        <v>108</v>
      </c>
      <c r="P6" s="99"/>
      <c r="Q6" s="99"/>
      <c r="R6" s="100"/>
    </row>
    <row r="7" spans="1:18" x14ac:dyDescent="0.25">
      <c r="B7" s="36" t="s">
        <v>2</v>
      </c>
      <c r="C7" s="5" t="s">
        <v>11</v>
      </c>
      <c r="D7" s="14">
        <v>1.2875000000000001</v>
      </c>
      <c r="E7" s="8">
        <f>D7*100/D11</f>
        <v>17.667238421955403</v>
      </c>
      <c r="F7" s="7">
        <f>ROUND(E7,2)</f>
        <v>17.670000000000002</v>
      </c>
      <c r="G7" s="5">
        <f t="shared" si="1"/>
        <v>17.670000000000002</v>
      </c>
      <c r="H7" s="5">
        <f t="shared" si="2"/>
        <v>0</v>
      </c>
      <c r="J7" s="85"/>
      <c r="K7" s="86"/>
      <c r="N7" s="50">
        <v>5</v>
      </c>
      <c r="O7" s="99" t="s">
        <v>111</v>
      </c>
      <c r="P7" s="99"/>
      <c r="Q7" s="99"/>
      <c r="R7" s="100"/>
    </row>
    <row r="8" spans="1:18" x14ac:dyDescent="0.25">
      <c r="B8" s="36" t="s">
        <v>3</v>
      </c>
      <c r="C8" s="5" t="s">
        <v>11</v>
      </c>
      <c r="D8" s="14">
        <v>3</v>
      </c>
      <c r="E8" s="8">
        <f>D8*100/D11</f>
        <v>41.166380789022298</v>
      </c>
      <c r="F8" s="7">
        <f t="shared" ref="F8:F10" si="3">ROUND(E8,2)</f>
        <v>41.17</v>
      </c>
      <c r="G8" s="5">
        <f t="shared" si="1"/>
        <v>41.17</v>
      </c>
      <c r="H8" s="5">
        <f t="shared" si="2"/>
        <v>0</v>
      </c>
      <c r="J8" s="85"/>
      <c r="K8" s="86"/>
      <c r="N8" s="50">
        <v>6</v>
      </c>
      <c r="O8" s="99" t="s">
        <v>112</v>
      </c>
      <c r="P8" s="99"/>
      <c r="Q8" s="99"/>
      <c r="R8" s="100"/>
    </row>
    <row r="9" spans="1:18" ht="15.75" thickBot="1" x14ac:dyDescent="0.3">
      <c r="B9" s="36" t="s">
        <v>4</v>
      </c>
      <c r="C9" s="5" t="s">
        <v>12</v>
      </c>
      <c r="D9" s="14"/>
      <c r="E9" s="8">
        <f>D9*100/D11</f>
        <v>0</v>
      </c>
      <c r="F9" s="7">
        <f t="shared" si="3"/>
        <v>0</v>
      </c>
      <c r="G9" s="5">
        <f t="shared" si="1"/>
        <v>0</v>
      </c>
      <c r="H9" s="5">
        <f t="shared" si="2"/>
        <v>0</v>
      </c>
      <c r="J9" s="87"/>
      <c r="K9" s="88"/>
      <c r="N9" s="50">
        <v>7</v>
      </c>
      <c r="O9" s="99" t="s">
        <v>113</v>
      </c>
      <c r="P9" s="99"/>
      <c r="Q9" s="99"/>
      <c r="R9" s="100"/>
    </row>
    <row r="10" spans="1:18" x14ac:dyDescent="0.25">
      <c r="B10" s="36" t="s">
        <v>5</v>
      </c>
      <c r="C10" s="5" t="s">
        <v>12</v>
      </c>
      <c r="D10" s="14"/>
      <c r="E10" s="8">
        <f>D10*100/D11</f>
        <v>0</v>
      </c>
      <c r="F10" s="7">
        <f t="shared" si="3"/>
        <v>0</v>
      </c>
      <c r="G10" s="5">
        <f t="shared" si="1"/>
        <v>0</v>
      </c>
      <c r="H10" s="5">
        <f t="shared" si="2"/>
        <v>0</v>
      </c>
      <c r="J10" s="91" t="s">
        <v>102</v>
      </c>
      <c r="K10" s="91"/>
      <c r="L10" s="25">
        <f>D7+D8</f>
        <v>4.2874999999999996</v>
      </c>
      <c r="N10" s="50">
        <v>8</v>
      </c>
      <c r="O10" s="99" t="s">
        <v>114</v>
      </c>
      <c r="P10" s="99"/>
      <c r="Q10" s="99"/>
      <c r="R10" s="100"/>
    </row>
    <row r="11" spans="1:18" x14ac:dyDescent="0.25">
      <c r="A11" s="32"/>
      <c r="B11" s="81" t="s">
        <v>10</v>
      </c>
      <c r="C11" s="82"/>
      <c r="D11" s="12">
        <f>SUM(D5:D10)</f>
        <v>7.2874999999999996</v>
      </c>
      <c r="E11" s="13">
        <f>SUM(E5:E10)</f>
        <v>100</v>
      </c>
      <c r="F11" s="46">
        <f>SUM(F5:F10)</f>
        <v>100</v>
      </c>
      <c r="G11" s="46">
        <f>SUM(G5:G10)</f>
        <v>100</v>
      </c>
      <c r="H11" s="47">
        <f>SUM(H5:H10)</f>
        <v>0</v>
      </c>
      <c r="J11" s="91" t="s">
        <v>106</v>
      </c>
      <c r="K11" s="91"/>
      <c r="L11" s="25">
        <f>(L10*100)/25</f>
        <v>17.149999999999999</v>
      </c>
      <c r="N11" s="50">
        <v>9</v>
      </c>
      <c r="O11" s="99" t="s">
        <v>115</v>
      </c>
      <c r="P11" s="99"/>
      <c r="Q11" s="99"/>
      <c r="R11" s="100"/>
    </row>
    <row r="12" spans="1:18" s="48" customFormat="1" ht="15" customHeight="1" thickBot="1" x14ac:dyDescent="0.3">
      <c r="D12" s="48">
        <f>COUNT(D5:D10)</f>
        <v>4</v>
      </c>
      <c r="E12" s="49"/>
      <c r="F12" s="49">
        <f>MAX(F5:F10)</f>
        <v>41.17</v>
      </c>
      <c r="N12" s="50">
        <v>10</v>
      </c>
      <c r="O12" s="99" t="s">
        <v>116</v>
      </c>
      <c r="P12" s="99"/>
      <c r="Q12" s="99"/>
      <c r="R12" s="100"/>
    </row>
    <row r="13" spans="1:18" ht="16.5" thickBot="1" x14ac:dyDescent="0.3">
      <c r="B13" s="78" t="s">
        <v>71</v>
      </c>
      <c r="C13" s="79"/>
      <c r="D13" s="79"/>
      <c r="E13" s="80"/>
      <c r="F13" s="4"/>
      <c r="I13" s="18">
        <f>SUM(I14:I19)</f>
        <v>0</v>
      </c>
      <c r="J13" s="91" t="s">
        <v>103</v>
      </c>
      <c r="K13" s="91"/>
      <c r="L13" s="27">
        <f>(E5+E6+E7+E8)/100</f>
        <v>1</v>
      </c>
      <c r="N13" s="50">
        <v>11</v>
      </c>
      <c r="O13" s="99" t="s">
        <v>117</v>
      </c>
      <c r="P13" s="99"/>
      <c r="Q13" s="99"/>
      <c r="R13" s="100"/>
    </row>
    <row r="14" spans="1:18" x14ac:dyDescent="0.25">
      <c r="B14" s="89" t="s">
        <v>16</v>
      </c>
      <c r="C14" s="90"/>
      <c r="D14" s="90"/>
      <c r="E14" s="9" t="str">
        <f>D26</f>
        <v>conforme</v>
      </c>
      <c r="F14" s="4"/>
      <c r="I14" s="18">
        <f>IF(E14="conforme",0,1)</f>
        <v>0</v>
      </c>
      <c r="J14" s="91" t="s">
        <v>104</v>
      </c>
      <c r="K14" s="91"/>
      <c r="L14" s="26">
        <f>(E9+E10)/100</f>
        <v>0</v>
      </c>
      <c r="N14" s="50">
        <v>12</v>
      </c>
      <c r="O14" s="99" t="s">
        <v>118</v>
      </c>
      <c r="P14" s="99"/>
      <c r="Q14" s="99"/>
      <c r="R14" s="100"/>
    </row>
    <row r="15" spans="1:18" ht="30" customHeight="1" x14ac:dyDescent="0.25">
      <c r="B15" s="76" t="s">
        <v>72</v>
      </c>
      <c r="C15" s="77"/>
      <c r="D15" s="77"/>
      <c r="E15" s="10" t="str">
        <f>G27</f>
        <v>conforme</v>
      </c>
      <c r="F15" s="4"/>
      <c r="I15" s="18">
        <f t="shared" ref="I15:I19" si="4">IF(E15="conforme",0,1)</f>
        <v>0</v>
      </c>
      <c r="N15" s="50">
        <v>13</v>
      </c>
      <c r="O15" s="99" t="s">
        <v>119</v>
      </c>
      <c r="P15" s="99"/>
      <c r="Q15" s="99"/>
      <c r="R15" s="100"/>
    </row>
    <row r="16" spans="1:18" ht="30" customHeight="1" x14ac:dyDescent="0.25">
      <c r="B16" s="76" t="s">
        <v>73</v>
      </c>
      <c r="C16" s="77"/>
      <c r="D16" s="77"/>
      <c r="E16" s="10" t="str">
        <f>H28</f>
        <v>conforme</v>
      </c>
      <c r="F16" s="4"/>
      <c r="I16" s="18">
        <f t="shared" si="4"/>
        <v>0</v>
      </c>
      <c r="N16" s="50">
        <v>14</v>
      </c>
      <c r="O16" s="99" t="s">
        <v>120</v>
      </c>
      <c r="P16" s="99"/>
      <c r="Q16" s="99"/>
      <c r="R16" s="100"/>
    </row>
    <row r="17" spans="2:18" ht="15.75" thickBot="1" x14ac:dyDescent="0.3">
      <c r="B17" s="68" t="s">
        <v>74</v>
      </c>
      <c r="C17" s="69"/>
      <c r="D17" s="69"/>
      <c r="E17" s="10" t="str">
        <f>F29</f>
        <v>conforme</v>
      </c>
      <c r="F17" s="4"/>
      <c r="I17" s="18">
        <f t="shared" si="4"/>
        <v>0</v>
      </c>
      <c r="N17" s="51">
        <v>15</v>
      </c>
      <c r="O17" s="95" t="s">
        <v>121</v>
      </c>
      <c r="P17" s="95"/>
      <c r="Q17" s="95"/>
      <c r="R17" s="96"/>
    </row>
    <row r="18" spans="2:18" x14ac:dyDescent="0.25">
      <c r="B18" s="68" t="s">
        <v>75</v>
      </c>
      <c r="C18" s="69"/>
      <c r="D18" s="69"/>
      <c r="E18" s="10" t="str">
        <f>E30</f>
        <v>conforme</v>
      </c>
      <c r="F18" s="4"/>
      <c r="I18" s="18">
        <f t="shared" si="4"/>
        <v>0</v>
      </c>
    </row>
    <row r="19" spans="2:18" ht="15.75" thickBot="1" x14ac:dyDescent="0.3">
      <c r="B19" s="70" t="s">
        <v>76</v>
      </c>
      <c r="C19" s="71"/>
      <c r="D19" s="71"/>
      <c r="E19" s="11" t="str">
        <f>E31</f>
        <v>conforme</v>
      </c>
      <c r="F19" s="4"/>
      <c r="I19" s="18">
        <f t="shared" si="4"/>
        <v>0</v>
      </c>
    </row>
    <row r="20" spans="2:18" x14ac:dyDescent="0.25">
      <c r="E20" s="4"/>
      <c r="F20" s="4"/>
    </row>
    <row r="21" spans="2:18" x14ac:dyDescent="0.25">
      <c r="B21" t="s">
        <v>78</v>
      </c>
      <c r="E21" s="4"/>
      <c r="F21" s="4"/>
    </row>
    <row r="22" spans="2:18" x14ac:dyDescent="0.25">
      <c r="B22" t="s">
        <v>80</v>
      </c>
      <c r="E22" s="4"/>
      <c r="F22" s="4"/>
    </row>
    <row r="23" spans="2:18" x14ac:dyDescent="0.25">
      <c r="B23" t="s">
        <v>79</v>
      </c>
      <c r="E23" s="4"/>
      <c r="F23" s="4"/>
    </row>
    <row r="24" spans="2:18" x14ac:dyDescent="0.25">
      <c r="B24" t="str">
        <f>"* Potentiel calculé sur la base de la règle la plus limitante ("&amp;J10&amp;"), sans préjuger de l'encépagement restant sur l'exploitation."</f>
        <v>* Potentiel calculé sur la base de la règle la plus limitante (Surface Sy/Mrvd : ), sans préjuger de l'encépagement restant sur l'exploitation.</v>
      </c>
      <c r="E24" s="4"/>
      <c r="F24" s="4"/>
    </row>
    <row r="25" spans="2:18" hidden="1" x14ac:dyDescent="0.25">
      <c r="E25" s="4"/>
      <c r="F25" s="4"/>
    </row>
    <row r="26" spans="2:18" hidden="1" x14ac:dyDescent="0.25">
      <c r="B26" t="s">
        <v>16</v>
      </c>
      <c r="D26" t="str">
        <f>IF(D12&gt;=2,"conforme","anomalie" )</f>
        <v>conforme</v>
      </c>
    </row>
    <row r="27" spans="2:18" ht="75" hidden="1" x14ac:dyDescent="0.25">
      <c r="B27" s="1" t="s">
        <v>52</v>
      </c>
      <c r="G27" t="str">
        <f>IF(G11&gt;=80,"conforme","anomalie" )</f>
        <v>conforme</v>
      </c>
    </row>
    <row r="28" spans="2:18" ht="45" hidden="1" x14ac:dyDescent="0.25">
      <c r="B28" s="1" t="s">
        <v>65</v>
      </c>
      <c r="H28" t="str">
        <f>IF(H11&lt;=20,"conforme","anomalie" )</f>
        <v>conforme</v>
      </c>
    </row>
    <row r="29" spans="2:18" hidden="1" x14ac:dyDescent="0.25">
      <c r="B29" t="s">
        <v>15</v>
      </c>
      <c r="F29" t="str">
        <f>IF(F12&lt;=70,"conforme","anomalie" )</f>
        <v>conforme</v>
      </c>
    </row>
    <row r="30" spans="2:18" hidden="1" x14ac:dyDescent="0.25">
      <c r="B30" t="s">
        <v>17</v>
      </c>
      <c r="E30" t="str">
        <f>IF(E5&lt;=50,"conforme","anomalie" )</f>
        <v>conforme</v>
      </c>
    </row>
    <row r="31" spans="2:18" hidden="1" x14ac:dyDescent="0.25">
      <c r="B31" t="s">
        <v>53</v>
      </c>
      <c r="E31" t="str">
        <f>IF(E7+E8&gt;=25,"conforme","anomalie" )</f>
        <v>conforme</v>
      </c>
    </row>
    <row r="32" spans="2:18" hidden="1" x14ac:dyDescent="0.25"/>
    <row r="33" hidden="1" x14ac:dyDescent="0.25"/>
    <row r="34" hidden="1" x14ac:dyDescent="0.25"/>
    <row r="35" hidden="1" x14ac:dyDescent="0.25"/>
    <row r="36" hidden="1" x14ac:dyDescent="0.25"/>
    <row r="37" hidden="1" x14ac:dyDescent="0.25"/>
  </sheetData>
  <sheetProtection algorithmName="SHA-512" hashValue="+ypJG+zdp39Yx1axUxOACDbzXOmECuidLUxegMAY41c75kozCTFrxds8APkupQIx34qVixbiMDEawzCToot/rg==" saltValue="rhf1yVyXUXbukHrydC3BeA==" spinCount="100000" sheet="1" objects="1" scenarios="1"/>
  <mergeCells count="31">
    <mergeCell ref="N2:R2"/>
    <mergeCell ref="O17:R17"/>
    <mergeCell ref="O3:R3"/>
    <mergeCell ref="O4:R4"/>
    <mergeCell ref="O5:R5"/>
    <mergeCell ref="O6:R6"/>
    <mergeCell ref="O7:R7"/>
    <mergeCell ref="O8:R8"/>
    <mergeCell ref="O9:R9"/>
    <mergeCell ref="O10:R10"/>
    <mergeCell ref="O11:R11"/>
    <mergeCell ref="O12:R12"/>
    <mergeCell ref="O13:R13"/>
    <mergeCell ref="O14:R14"/>
    <mergeCell ref="O15:R15"/>
    <mergeCell ref="O16:R16"/>
    <mergeCell ref="B18:D18"/>
    <mergeCell ref="B19:D19"/>
    <mergeCell ref="J3:K3"/>
    <mergeCell ref="B2:E3"/>
    <mergeCell ref="B15:D15"/>
    <mergeCell ref="B16:D16"/>
    <mergeCell ref="B17:D17"/>
    <mergeCell ref="B13:E13"/>
    <mergeCell ref="B11:C11"/>
    <mergeCell ref="J5:K9"/>
    <mergeCell ref="B14:D14"/>
    <mergeCell ref="J11:K11"/>
    <mergeCell ref="J10:K10"/>
    <mergeCell ref="J13:K13"/>
    <mergeCell ref="J14:K14"/>
  </mergeCells>
  <conditionalFormatting sqref="D26">
    <cfRule type="containsText" dxfId="295" priority="17" operator="containsText" text="anomalie">
      <formula>NOT(ISERROR(SEARCH("anomalie",D26)))</formula>
    </cfRule>
    <cfRule type="containsText" dxfId="294" priority="18" operator="containsText" text="conforme">
      <formula>NOT(ISERROR(SEARCH("conforme",D26)))</formula>
    </cfRule>
    <cfRule type="containsText" dxfId="293" priority="25" operator="containsText" text="OK">
      <formula>NOT(ISERROR(SEARCH("OK",D26)))</formula>
    </cfRule>
    <cfRule type="containsText" dxfId="292" priority="26" operator="containsText" text="Non conforme">
      <formula>NOT(ISERROR(SEARCH("Non conforme",D26)))</formula>
    </cfRule>
  </conditionalFormatting>
  <conditionalFormatting sqref="G27:G28">
    <cfRule type="containsText" dxfId="291" priority="23" operator="containsText" text="OK">
      <formula>NOT(ISERROR(SEARCH("OK",G27)))</formula>
    </cfRule>
    <cfRule type="containsText" dxfId="290" priority="24" operator="containsText" text="Non conforme">
      <formula>NOT(ISERROR(SEARCH("Non conforme",G27)))</formula>
    </cfRule>
  </conditionalFormatting>
  <conditionalFormatting sqref="E29:F31">
    <cfRule type="containsText" dxfId="289" priority="21" operator="containsText" text="OK">
      <formula>NOT(ISERROR(SEARCH("OK",E29)))</formula>
    </cfRule>
    <cfRule type="containsText" dxfId="288" priority="22" operator="containsText" text="Non conforme">
      <formula>NOT(ISERROR(SEARCH("Non conforme",E29)))</formula>
    </cfRule>
  </conditionalFormatting>
  <conditionalFormatting sqref="H28">
    <cfRule type="containsText" dxfId="287" priority="13" operator="containsText" text="anomalie">
      <formula>NOT(ISERROR(SEARCH("anomalie",H28)))</formula>
    </cfRule>
    <cfRule type="containsText" dxfId="286" priority="14" operator="containsText" text="conforme">
      <formula>NOT(ISERROR(SEARCH("conforme",H28)))</formula>
    </cfRule>
    <cfRule type="containsText" dxfId="285" priority="19" operator="containsText" text="OK">
      <formula>NOT(ISERROR(SEARCH("OK",H28)))</formula>
    </cfRule>
    <cfRule type="containsText" dxfId="284" priority="20" operator="containsText" text="Non conforme">
      <formula>NOT(ISERROR(SEARCH("Non conforme",H28)))</formula>
    </cfRule>
  </conditionalFormatting>
  <conditionalFormatting sqref="G27">
    <cfRule type="containsText" dxfId="283" priority="15" operator="containsText" text="anomalie">
      <formula>NOT(ISERROR(SEARCH("anomalie",G27)))</formula>
    </cfRule>
    <cfRule type="containsText" dxfId="282" priority="16" operator="containsText" text="conforme">
      <formula>NOT(ISERROR(SEARCH("conforme",G27)))</formula>
    </cfRule>
  </conditionalFormatting>
  <conditionalFormatting sqref="F29">
    <cfRule type="containsText" dxfId="281" priority="11" operator="containsText" text="anomalie">
      <formula>NOT(ISERROR(SEARCH("anomalie",F29)))</formula>
    </cfRule>
    <cfRule type="containsText" dxfId="280" priority="12" operator="containsText" text="conforme">
      <formula>NOT(ISERROR(SEARCH("conforme",F29)))</formula>
    </cfRule>
  </conditionalFormatting>
  <conditionalFormatting sqref="E30">
    <cfRule type="containsText" dxfId="279" priority="9" operator="containsText" text="anomalie">
      <formula>NOT(ISERROR(SEARCH("anomalie",E30)))</formula>
    </cfRule>
    <cfRule type="containsText" dxfId="278" priority="10" operator="containsText" text="conforme">
      <formula>NOT(ISERROR(SEARCH("conforme",E30)))</formula>
    </cfRule>
  </conditionalFormatting>
  <conditionalFormatting sqref="E31">
    <cfRule type="containsText" dxfId="277" priority="7" operator="containsText" text="anomalie">
      <formula>NOT(ISERROR(SEARCH("anomalie",E31)))</formula>
    </cfRule>
    <cfRule type="containsText" dxfId="276" priority="8" operator="containsText" text="conforme">
      <formula>NOT(ISERROR(SEARCH("conforme",E31)))</formula>
    </cfRule>
  </conditionalFormatting>
  <conditionalFormatting sqref="E14:E19">
    <cfRule type="containsText" dxfId="275" priority="3" operator="containsText" text="anomalie">
      <formula>NOT(ISERROR(SEARCH("anomalie",E14)))</formula>
    </cfRule>
    <cfRule type="containsText" dxfId="274" priority="4" operator="containsText" text="conforme">
      <formula>NOT(ISERROR(SEARCH("conforme",E14)))</formula>
    </cfRule>
    <cfRule type="containsText" dxfId="273" priority="5" operator="containsText" text="OK">
      <formula>NOT(ISERROR(SEARCH("OK",E14)))</formula>
    </cfRule>
    <cfRule type="containsText" dxfId="272" priority="6" operator="containsText" text="Non conforme">
      <formula>NOT(ISERROR(SEARCH("Non conforme",E14)))</formula>
    </cfRule>
  </conditionalFormatting>
  <conditionalFormatting sqref="J5:K9">
    <cfRule type="expression" dxfId="271" priority="1">
      <formula>$I$13&gt;0</formula>
    </cfRule>
    <cfRule type="expression" dxfId="270" priority="2">
      <formula>$I$13=0</formula>
    </cfRule>
  </conditionalFormatting>
  <hyperlinks>
    <hyperlink ref="J3" location="'Outil contrôle encépagement'!A1" display="Retour à l'accueil" xr:uid="{FFFA4281-E3BE-4A53-8455-AD9E2CCF36EE}"/>
    <hyperlink ref="O3" location="'CR Rouge'!A1" display="Côtes du Roussillon Rouge" xr:uid="{C4276651-4105-496D-8E12-047008A335F2}"/>
    <hyperlink ref="O4" location="'CR Rosé'!A1" display="Côtes du Roussillon Rosé" xr:uid="{CC056334-9159-42E9-8642-1C8FBA85F391}"/>
    <hyperlink ref="O5" location="'CR Blanc'!A1" display="Côtes du Roussillon Blanc" xr:uid="{2A9EC3A8-AD00-48AA-850E-C79FFFC55F16}"/>
    <hyperlink ref="O6:R6" location="'CR Villages'!A1" display="Côtes du Roussillon Villages" xr:uid="{F2563B80-FF90-47B1-AC6C-A023A2B68B91}"/>
    <hyperlink ref="O7:R7" location="'CR Villages Les Aspres'!A1" display="Côtes du Roussillon Villages Les Aspres" xr:uid="{6B240AFB-4F5A-4A2D-ABD3-3916E814A974}"/>
    <hyperlink ref="O8:R8" location="'CRV LATOUR DE FRANCE'!A1" display="Côtes du Roussillon Villages Latour de France" xr:uid="{DA78D3CC-1760-4E76-A4E6-B5127D542EDE}"/>
    <hyperlink ref="O9:R9" location="'CRV CARAMANY'!A1" display="Côtes du Roussillon Villages Caramany" xr:uid="{96698A67-ADFE-4386-8FE8-F44CE0921CE5}"/>
    <hyperlink ref="O10:R10" location="'CRV LESQUERDE'!A1" display="Côtes du Roussillon Villages Lesquerde" xr:uid="{7798F0D0-B652-4EF6-A155-C8482377000C}"/>
    <hyperlink ref="O11:R11" location="'CRV TAUTAVEL'!A1" display="Côtes du Roussillon Villages Tautavel" xr:uid="{0BD2CC17-537F-45C7-95EA-B13A1B08CA41}"/>
    <hyperlink ref="O12:R12" location="'MAURY SEC'!A1" display="Maury Sec" xr:uid="{B99B180F-9BE6-4054-9C66-98859B8D4B98}"/>
    <hyperlink ref="O13:R13" location="'MAURY Grenat ou Tuilé'!A1" display="Maury Grenat ou tuilé" xr:uid="{F34851C0-7BAD-41BB-B125-2B8C4DB53D18}"/>
    <hyperlink ref="O14:R14" location="'MAURY Ambré ou Blanc'!A1" display="Maury Ambré ou Blanc" xr:uid="{749C8690-8B4D-4327-AB73-617B9F9FD617}"/>
    <hyperlink ref="O15:R15" location="'Muscat de Riv.'!A1" display="Muscat de Rivesaltes" xr:uid="{5490B109-1479-4830-882D-9E99ADE0427A}"/>
    <hyperlink ref="O16:R16" location="'Rivesaltes Ambré, Rosé ou Tuilé'!A1" display="Rivesaltes Ambé, Rosé ou Tuilé" xr:uid="{6E345B91-D14A-401E-9D53-63F116A3A9B6}"/>
    <hyperlink ref="O17:R17" location="'Rivesaltes Grenat'!A1" display="Rivesaltes Grenat" xr:uid="{94517A2D-38C3-4BEE-A334-A56635CFE180}"/>
  </hyperlinks>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0"/>
  <sheetViews>
    <sheetView showGridLines="0" showRowColHeaders="0" zoomScale="115" zoomScaleNormal="115" workbookViewId="0">
      <selection activeCell="J33" sqref="J33"/>
    </sheetView>
  </sheetViews>
  <sheetFormatPr baseColWidth="10" defaultRowHeight="15" x14ac:dyDescent="0.25"/>
  <cols>
    <col min="2" max="2" width="18.85546875" customWidth="1"/>
    <col min="3" max="3" width="13.7109375" customWidth="1"/>
    <col min="6" max="8" width="0" hidden="1" customWidth="1"/>
    <col min="9" max="9" width="5.28515625"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132</v>
      </c>
      <c r="C2" s="74"/>
      <c r="D2" s="74"/>
      <c r="E2" s="74"/>
      <c r="N2" s="92" t="s">
        <v>170</v>
      </c>
      <c r="O2" s="93"/>
      <c r="P2" s="93"/>
      <c r="Q2" s="93"/>
      <c r="R2" s="94"/>
    </row>
    <row r="3" spans="2:18" ht="23.25" customHeight="1" x14ac:dyDescent="0.25">
      <c r="B3" s="75"/>
      <c r="C3" s="75"/>
      <c r="D3" s="75"/>
      <c r="E3" s="75"/>
      <c r="J3" s="72" t="s">
        <v>122</v>
      </c>
      <c r="K3" s="73"/>
      <c r="N3" s="50">
        <v>1</v>
      </c>
      <c r="O3" s="97" t="s">
        <v>107</v>
      </c>
      <c r="P3" s="97"/>
      <c r="Q3" s="97"/>
      <c r="R3" s="98"/>
    </row>
    <row r="4" spans="2:18" ht="30.75" thickBot="1" x14ac:dyDescent="0.3">
      <c r="B4" s="16" t="s">
        <v>7</v>
      </c>
      <c r="C4" s="16" t="s">
        <v>77</v>
      </c>
      <c r="D4" s="16" t="s">
        <v>8</v>
      </c>
      <c r="E4" s="16" t="s">
        <v>9</v>
      </c>
      <c r="F4" s="5" t="s">
        <v>41</v>
      </c>
      <c r="G4" s="6" t="s">
        <v>13</v>
      </c>
      <c r="H4" s="6" t="s">
        <v>14</v>
      </c>
      <c r="N4" s="50">
        <v>2</v>
      </c>
      <c r="O4" s="97" t="s">
        <v>109</v>
      </c>
      <c r="P4" s="97"/>
      <c r="Q4" s="97"/>
      <c r="R4" s="98"/>
    </row>
    <row r="5" spans="2:18" ht="15" customHeight="1" x14ac:dyDescent="0.25">
      <c r="B5" s="36" t="s">
        <v>0</v>
      </c>
      <c r="C5" s="5" t="s">
        <v>12</v>
      </c>
      <c r="D5" s="14"/>
      <c r="E5" s="8">
        <f>D5*100/D13</f>
        <v>0</v>
      </c>
      <c r="F5" s="7">
        <f>ROUND(E5,2)</f>
        <v>0</v>
      </c>
      <c r="G5" s="5">
        <f>IF(C5="P",F5,0)</f>
        <v>0</v>
      </c>
      <c r="H5" s="5">
        <f>IF(C5="A",E5,0)</f>
        <v>0</v>
      </c>
      <c r="J5" s="83" t="str">
        <f>IF(I16=0,"Encépagement conforme aux règles du Cahier des Charges","Encépagement NON conforme aux règles du Cahier des Charges")</f>
        <v>Encépagement conforme aux règles du Cahier des Charges</v>
      </c>
      <c r="K5" s="84"/>
      <c r="N5" s="50">
        <v>3</v>
      </c>
      <c r="O5" s="97" t="s">
        <v>110</v>
      </c>
      <c r="P5" s="97"/>
      <c r="Q5" s="97"/>
      <c r="R5" s="98"/>
    </row>
    <row r="6" spans="2:18" ht="15" customHeight="1" x14ac:dyDescent="0.25">
      <c r="B6" s="36" t="s">
        <v>1</v>
      </c>
      <c r="C6" s="5" t="s">
        <v>11</v>
      </c>
      <c r="D6" s="14">
        <v>2.3249</v>
      </c>
      <c r="E6" s="8">
        <f>D6*100/D13</f>
        <v>40.544452582749123</v>
      </c>
      <c r="F6" s="7">
        <f>ROUND(E6,2)</f>
        <v>40.54</v>
      </c>
      <c r="G6" s="5">
        <f t="shared" ref="G6:G12" si="0">IF(C6="P",F6,0)</f>
        <v>40.54</v>
      </c>
      <c r="H6" s="5">
        <f t="shared" ref="H6:H12" si="1">IF(C6="A",E6,0)</f>
        <v>0</v>
      </c>
      <c r="J6" s="85"/>
      <c r="K6" s="86"/>
      <c r="N6" s="50">
        <v>4</v>
      </c>
      <c r="O6" s="99" t="s">
        <v>108</v>
      </c>
      <c r="P6" s="99"/>
      <c r="Q6" s="99"/>
      <c r="R6" s="100"/>
    </row>
    <row r="7" spans="2:18" ht="15" customHeight="1" x14ac:dyDescent="0.25">
      <c r="B7" s="36" t="s">
        <v>2</v>
      </c>
      <c r="C7" s="5" t="s">
        <v>12</v>
      </c>
      <c r="D7" s="14"/>
      <c r="E7" s="8">
        <f>D7*100/D13</f>
        <v>0</v>
      </c>
      <c r="F7" s="7">
        <f t="shared" ref="F7:F11" si="2">ROUND(E7,2)</f>
        <v>0</v>
      </c>
      <c r="G7" s="5">
        <f t="shared" si="0"/>
        <v>0</v>
      </c>
      <c r="H7" s="5">
        <f t="shared" si="1"/>
        <v>0</v>
      </c>
      <c r="J7" s="85"/>
      <c r="K7" s="86"/>
      <c r="N7" s="50">
        <v>5</v>
      </c>
      <c r="O7" s="99" t="s">
        <v>111</v>
      </c>
      <c r="P7" s="99"/>
      <c r="Q7" s="99"/>
      <c r="R7" s="100"/>
    </row>
    <row r="8" spans="2:18" ht="15" customHeight="1" x14ac:dyDescent="0.25">
      <c r="B8" s="36" t="s">
        <v>3</v>
      </c>
      <c r="C8" s="5" t="s">
        <v>11</v>
      </c>
      <c r="D8" s="14">
        <v>1.3468</v>
      </c>
      <c r="E8" s="8">
        <f>D8*100/D13</f>
        <v>23.487147291688469</v>
      </c>
      <c r="F8" s="7">
        <f t="shared" si="2"/>
        <v>23.49</v>
      </c>
      <c r="G8" s="5">
        <f t="shared" si="0"/>
        <v>23.49</v>
      </c>
      <c r="H8" s="5">
        <f t="shared" si="1"/>
        <v>0</v>
      </c>
      <c r="J8" s="85"/>
      <c r="K8" s="86"/>
      <c r="N8" s="50">
        <v>6</v>
      </c>
      <c r="O8" s="99" t="s">
        <v>112</v>
      </c>
      <c r="P8" s="99"/>
      <c r="Q8" s="99"/>
      <c r="R8" s="100"/>
    </row>
    <row r="9" spans="2:18" ht="15.75" customHeight="1" thickBot="1" x14ac:dyDescent="0.3">
      <c r="B9" s="36" t="s">
        <v>4</v>
      </c>
      <c r="C9" s="5" t="s">
        <v>12</v>
      </c>
      <c r="D9" s="14"/>
      <c r="E9" s="8">
        <f>D9*100/D13</f>
        <v>0</v>
      </c>
      <c r="F9" s="7">
        <f t="shared" si="2"/>
        <v>0</v>
      </c>
      <c r="G9" s="5">
        <f t="shared" si="0"/>
        <v>0</v>
      </c>
      <c r="H9" s="5">
        <f t="shared" si="1"/>
        <v>0</v>
      </c>
      <c r="J9" s="87"/>
      <c r="K9" s="88"/>
      <c r="N9" s="50">
        <v>7</v>
      </c>
      <c r="O9" s="99" t="s">
        <v>113</v>
      </c>
      <c r="P9" s="99"/>
      <c r="Q9" s="99"/>
      <c r="R9" s="100"/>
    </row>
    <row r="10" spans="2:18" x14ac:dyDescent="0.25">
      <c r="B10" s="36" t="s">
        <v>55</v>
      </c>
      <c r="C10" s="5" t="s">
        <v>11</v>
      </c>
      <c r="D10" s="14">
        <v>1.0625</v>
      </c>
      <c r="E10" s="8">
        <f>D10*100/D13</f>
        <v>18.529175822259429</v>
      </c>
      <c r="F10" s="7">
        <f t="shared" si="2"/>
        <v>18.53</v>
      </c>
      <c r="G10" s="5">
        <f t="shared" si="0"/>
        <v>18.53</v>
      </c>
      <c r="H10" s="5">
        <f t="shared" si="1"/>
        <v>0</v>
      </c>
      <c r="N10" s="50">
        <v>8</v>
      </c>
      <c r="O10" s="99" t="s">
        <v>114</v>
      </c>
      <c r="P10" s="99"/>
      <c r="Q10" s="99"/>
      <c r="R10" s="100"/>
    </row>
    <row r="11" spans="2:18" x14ac:dyDescent="0.25">
      <c r="B11" s="36" t="s">
        <v>5</v>
      </c>
      <c r="C11" s="5" t="s">
        <v>12</v>
      </c>
      <c r="D11" s="14"/>
      <c r="E11" s="8">
        <f>D11*100/D13</f>
        <v>0</v>
      </c>
      <c r="F11" s="7">
        <f t="shared" si="2"/>
        <v>0</v>
      </c>
      <c r="G11" s="5">
        <f t="shared" si="0"/>
        <v>0</v>
      </c>
      <c r="H11" s="5">
        <f t="shared" si="1"/>
        <v>0</v>
      </c>
      <c r="J11" s="91" t="s">
        <v>101</v>
      </c>
      <c r="K11" s="91"/>
      <c r="L11" s="25">
        <f>D6+D8+D10</f>
        <v>4.7341999999999995</v>
      </c>
      <c r="N11" s="50">
        <v>9</v>
      </c>
      <c r="O11" s="99" t="s">
        <v>115</v>
      </c>
      <c r="P11" s="99"/>
      <c r="Q11" s="99"/>
      <c r="R11" s="100"/>
    </row>
    <row r="12" spans="2:18" x14ac:dyDescent="0.25">
      <c r="B12" s="36" t="s">
        <v>6</v>
      </c>
      <c r="C12" s="5" t="s">
        <v>12</v>
      </c>
      <c r="D12" s="14">
        <v>1</v>
      </c>
      <c r="E12" s="8">
        <f>D12*100/D13</f>
        <v>17.439224303302989</v>
      </c>
      <c r="F12" s="7">
        <f>ROUND(E12,2)</f>
        <v>17.440000000000001</v>
      </c>
      <c r="G12" s="5">
        <f t="shared" si="0"/>
        <v>0</v>
      </c>
      <c r="H12" s="5">
        <f t="shared" si="1"/>
        <v>17.439224303302989</v>
      </c>
      <c r="J12" s="91" t="s">
        <v>138</v>
      </c>
      <c r="K12" s="91"/>
      <c r="L12" s="25">
        <f>(L11*100)/70</f>
        <v>6.7631428571428565</v>
      </c>
      <c r="N12" s="50">
        <v>10</v>
      </c>
      <c r="O12" s="99" t="s">
        <v>116</v>
      </c>
      <c r="P12" s="99"/>
      <c r="Q12" s="99"/>
      <c r="R12" s="100"/>
    </row>
    <row r="13" spans="2:18" x14ac:dyDescent="0.25">
      <c r="B13" s="81" t="s">
        <v>10</v>
      </c>
      <c r="C13" s="82"/>
      <c r="D13" s="12">
        <f>SUM(D5:D12)</f>
        <v>5.7341999999999995</v>
      </c>
      <c r="E13" s="20">
        <f>SUM(E5:E12)</f>
        <v>100.00000000000001</v>
      </c>
      <c r="F13" s="7">
        <f>SUM(F5:F12)</f>
        <v>100</v>
      </c>
      <c r="G13" s="5">
        <f>SUM(G5:G12)</f>
        <v>82.56</v>
      </c>
      <c r="H13" s="5">
        <f>SUM(H5:H12)</f>
        <v>17.439224303302989</v>
      </c>
      <c r="N13" s="50">
        <v>11</v>
      </c>
      <c r="O13" s="99" t="s">
        <v>117</v>
      </c>
      <c r="P13" s="99"/>
      <c r="Q13" s="99"/>
      <c r="R13" s="100"/>
    </row>
    <row r="14" spans="2:18" s="48" customFormat="1" ht="15" customHeight="1" x14ac:dyDescent="0.25">
      <c r="D14" s="48">
        <f>COUNT(D5:D12)</f>
        <v>4</v>
      </c>
      <c r="E14" s="49"/>
      <c r="F14" s="49">
        <f>MAX(F5:F12)</f>
        <v>40.54</v>
      </c>
      <c r="N14" s="50">
        <v>12</v>
      </c>
      <c r="O14" s="99" t="s">
        <v>118</v>
      </c>
      <c r="P14" s="99"/>
      <c r="Q14" s="99"/>
      <c r="R14" s="100"/>
    </row>
    <row r="15" spans="2:18" ht="15.75" thickBot="1" x14ac:dyDescent="0.3">
      <c r="F15" s="4"/>
      <c r="J15" s="91" t="s">
        <v>103</v>
      </c>
      <c r="K15" s="91"/>
      <c r="L15" s="27">
        <f>(E6+E8+E10)/100</f>
        <v>0.8256077569669702</v>
      </c>
      <c r="N15" s="50">
        <v>13</v>
      </c>
      <c r="O15" s="99" t="s">
        <v>119</v>
      </c>
      <c r="P15" s="99"/>
      <c r="Q15" s="99"/>
      <c r="R15" s="100"/>
    </row>
    <row r="16" spans="2:18" ht="16.5" thickBot="1" x14ac:dyDescent="0.3">
      <c r="B16" s="78" t="s">
        <v>71</v>
      </c>
      <c r="C16" s="79"/>
      <c r="D16" s="79"/>
      <c r="E16" s="80"/>
      <c r="I16" s="18">
        <f>SUM(I17:I20)</f>
        <v>0</v>
      </c>
      <c r="J16" s="91" t="s">
        <v>104</v>
      </c>
      <c r="K16" s="91"/>
      <c r="L16" s="26">
        <f>(E5+E7+E9+E11+E12)/100</f>
        <v>0.17439224303302989</v>
      </c>
      <c r="N16" s="50">
        <v>14</v>
      </c>
      <c r="O16" s="99" t="s">
        <v>120</v>
      </c>
      <c r="P16" s="99"/>
      <c r="Q16" s="99"/>
      <c r="R16" s="100"/>
    </row>
    <row r="17" spans="2:18" ht="15.75" thickBot="1" x14ac:dyDescent="0.3">
      <c r="B17" s="101" t="s">
        <v>16</v>
      </c>
      <c r="C17" s="102"/>
      <c r="D17" s="102"/>
      <c r="E17" s="19" t="str">
        <f>D26</f>
        <v>conforme</v>
      </c>
      <c r="I17" s="18">
        <f>IF(E17="conforme",0,1)</f>
        <v>0</v>
      </c>
      <c r="N17" s="51">
        <v>15</v>
      </c>
      <c r="O17" s="95" t="s">
        <v>121</v>
      </c>
      <c r="P17" s="95"/>
      <c r="Q17" s="95"/>
      <c r="R17" s="96"/>
    </row>
    <row r="18" spans="2:18" ht="30" customHeight="1" x14ac:dyDescent="0.25">
      <c r="B18" s="76" t="s">
        <v>81</v>
      </c>
      <c r="C18" s="77"/>
      <c r="D18" s="77"/>
      <c r="E18" s="10" t="str">
        <f>G27</f>
        <v>conforme</v>
      </c>
      <c r="I18" s="18">
        <f t="shared" ref="I18:I20" si="3">IF(E18="conforme",0,1)</f>
        <v>0</v>
      </c>
    </row>
    <row r="19" spans="2:18" ht="30" customHeight="1" x14ac:dyDescent="0.25">
      <c r="B19" s="76" t="s">
        <v>82</v>
      </c>
      <c r="C19" s="77"/>
      <c r="D19" s="77"/>
      <c r="E19" s="10" t="str">
        <f>H28</f>
        <v>conforme</v>
      </c>
      <c r="I19" s="18">
        <f t="shared" si="3"/>
        <v>0</v>
      </c>
    </row>
    <row r="20" spans="2:18" ht="15.75" thickBot="1" x14ac:dyDescent="0.3">
      <c r="B20" s="70" t="s">
        <v>83</v>
      </c>
      <c r="C20" s="71"/>
      <c r="D20" s="71"/>
      <c r="E20" s="11" t="str">
        <f>F29</f>
        <v>conforme</v>
      </c>
      <c r="I20" s="18">
        <f t="shared" si="3"/>
        <v>0</v>
      </c>
    </row>
    <row r="21" spans="2:18" x14ac:dyDescent="0.25">
      <c r="F21" s="18"/>
      <c r="I21" s="18"/>
    </row>
    <row r="22" spans="2:18" x14ac:dyDescent="0.25">
      <c r="B22" t="s">
        <v>78</v>
      </c>
      <c r="E22" s="4"/>
      <c r="F22" s="4"/>
      <c r="I22" s="18"/>
    </row>
    <row r="23" spans="2:18" x14ac:dyDescent="0.25">
      <c r="B23" t="s">
        <v>80</v>
      </c>
      <c r="E23" s="4"/>
      <c r="F23" s="4"/>
    </row>
    <row r="24" spans="2:18" x14ac:dyDescent="0.25">
      <c r="B24" t="s">
        <v>79</v>
      </c>
      <c r="E24" s="4"/>
      <c r="F24" s="4"/>
    </row>
    <row r="25" spans="2:18" x14ac:dyDescent="0.25">
      <c r="B25" t="str">
        <f>"* Potentiel calculé sur la base de la règle la plus limitante ("&amp;J11&amp;"), sans préjuger de l'encépagement restant sur l'exploitation."</f>
        <v>* Potentiel calculé sur la base de la règle la plus limitante (Surface Principaux : ), sans préjuger de l'encépagement restant sur l'exploitation.</v>
      </c>
      <c r="F25" s="4"/>
    </row>
    <row r="26" spans="2:18" hidden="1" x14ac:dyDescent="0.25">
      <c r="B26" t="s">
        <v>16</v>
      </c>
      <c r="D26" t="str">
        <f>IF(D14&gt;=2,"conforme","anomalie" )</f>
        <v>conforme</v>
      </c>
    </row>
    <row r="27" spans="2:18" ht="60" hidden="1" x14ac:dyDescent="0.25">
      <c r="B27" s="1" t="s">
        <v>54</v>
      </c>
      <c r="G27" t="str">
        <f>IF(G13&gt;=70,"conforme","anomalie" )</f>
        <v>conforme</v>
      </c>
    </row>
    <row r="28" spans="2:18" ht="90" hidden="1" x14ac:dyDescent="0.25">
      <c r="B28" s="1" t="s">
        <v>66</v>
      </c>
      <c r="H28" t="str">
        <f>IF(H13&lt;=30,"conforme","anomalie" )</f>
        <v>conforme</v>
      </c>
    </row>
    <row r="29" spans="2:18" hidden="1" x14ac:dyDescent="0.25">
      <c r="B29" t="s">
        <v>15</v>
      </c>
      <c r="F29" t="str">
        <f>IF(F14&lt;=70,"conforme","anomalie" )</f>
        <v>conforme</v>
      </c>
    </row>
    <row r="30" spans="2:18" hidden="1" x14ac:dyDescent="0.25"/>
  </sheetData>
  <sheetProtection algorithmName="SHA-512" hashValue="65i39fXdu5IQw3kbImj1aG+65DrOOPQ3gjnRruE5mDsbgSFA72HjnhX72GXC9rNvbFVHtgp9Id9aCF1G9+hSkg==" saltValue="2CFcbdHHoe/xAoZxHufBbg==" spinCount="100000" sheet="1" objects="1" scenarios="1"/>
  <mergeCells count="29">
    <mergeCell ref="O15:R15"/>
    <mergeCell ref="O16:R16"/>
    <mergeCell ref="O17:R17"/>
    <mergeCell ref="O10:R10"/>
    <mergeCell ref="O11:R11"/>
    <mergeCell ref="O12:R12"/>
    <mergeCell ref="O13:R13"/>
    <mergeCell ref="O14:R14"/>
    <mergeCell ref="O5:R5"/>
    <mergeCell ref="O6:R6"/>
    <mergeCell ref="O7:R7"/>
    <mergeCell ref="O8:R8"/>
    <mergeCell ref="O9:R9"/>
    <mergeCell ref="J3:K3"/>
    <mergeCell ref="B2:E3"/>
    <mergeCell ref="N2:R2"/>
    <mergeCell ref="O3:R3"/>
    <mergeCell ref="O4:R4"/>
    <mergeCell ref="B18:D18"/>
    <mergeCell ref="B19:D19"/>
    <mergeCell ref="B20:D20"/>
    <mergeCell ref="J5:K9"/>
    <mergeCell ref="B13:C13"/>
    <mergeCell ref="B16:E16"/>
    <mergeCell ref="B17:D17"/>
    <mergeCell ref="J11:K11"/>
    <mergeCell ref="J12:K12"/>
    <mergeCell ref="J16:K16"/>
    <mergeCell ref="J15:K15"/>
  </mergeCells>
  <conditionalFormatting sqref="D26">
    <cfRule type="containsText" dxfId="269" priority="17" operator="containsText" text="OK">
      <formula>NOT(ISERROR(SEARCH("OK",D26)))</formula>
    </cfRule>
    <cfRule type="containsText" dxfId="268" priority="18" operator="containsText" text="Non conforme">
      <formula>NOT(ISERROR(SEARCH("Non conforme",D26)))</formula>
    </cfRule>
  </conditionalFormatting>
  <conditionalFormatting sqref="G27:G28">
    <cfRule type="containsText" dxfId="267" priority="15" operator="containsText" text="OK">
      <formula>NOT(ISERROR(SEARCH("OK",G27)))</formula>
    </cfRule>
    <cfRule type="containsText" dxfId="266" priority="16" operator="containsText" text="Non conforme">
      <formula>NOT(ISERROR(SEARCH("Non conforme",G27)))</formula>
    </cfRule>
  </conditionalFormatting>
  <conditionalFormatting sqref="E29:F29">
    <cfRule type="containsText" dxfId="265" priority="13" operator="containsText" text="OK">
      <formula>NOT(ISERROR(SEARCH("OK",E29)))</formula>
    </cfRule>
    <cfRule type="containsText" dxfId="264" priority="14" operator="containsText" text="Non conforme">
      <formula>NOT(ISERROR(SEARCH("Non conforme",E29)))</formula>
    </cfRule>
  </conditionalFormatting>
  <conditionalFormatting sqref="H28">
    <cfRule type="containsText" dxfId="263" priority="11" operator="containsText" text="OK">
      <formula>NOT(ISERROR(SEARCH("OK",H28)))</formula>
    </cfRule>
    <cfRule type="containsText" dxfId="262" priority="12" operator="containsText" text="Non conforme">
      <formula>NOT(ISERROR(SEARCH("Non conforme",H28)))</formula>
    </cfRule>
  </conditionalFormatting>
  <conditionalFormatting sqref="D26:H29">
    <cfRule type="containsText" dxfId="261" priority="9" operator="containsText" text="anomalie">
      <formula>NOT(ISERROR(SEARCH("anomalie",D26)))</formula>
    </cfRule>
    <cfRule type="containsText" dxfId="260" priority="10" operator="containsText" text="conforme">
      <formula>NOT(ISERROR(SEARCH("conforme",D26)))</formula>
    </cfRule>
  </conditionalFormatting>
  <conditionalFormatting sqref="E17:E20">
    <cfRule type="containsText" dxfId="259" priority="5" operator="containsText" text="anomalie">
      <formula>NOT(ISERROR(SEARCH("anomalie",E17)))</formula>
    </cfRule>
    <cfRule type="containsText" dxfId="258" priority="6" operator="containsText" text="conforme">
      <formula>NOT(ISERROR(SEARCH("conforme",E17)))</formula>
    </cfRule>
    <cfRule type="containsText" dxfId="257" priority="7" operator="containsText" text="OK">
      <formula>NOT(ISERROR(SEARCH("OK",E17)))</formula>
    </cfRule>
    <cfRule type="containsText" dxfId="256" priority="8" operator="containsText" text="Non conforme">
      <formula>NOT(ISERROR(SEARCH("Non conforme",E17)))</formula>
    </cfRule>
  </conditionalFormatting>
  <conditionalFormatting sqref="J5:K9">
    <cfRule type="expression" dxfId="255" priority="1">
      <formula>$I$16&gt;0</formula>
    </cfRule>
    <cfRule type="expression" dxfId="254" priority="2">
      <formula>$I$16=0</formula>
    </cfRule>
  </conditionalFormatting>
  <hyperlinks>
    <hyperlink ref="J3" location="'Outil contrôle encépagement'!A1" display="Retour à l'accueil" xr:uid="{AB28331A-6825-4F23-BEF1-9EE6EDDE5EF5}"/>
    <hyperlink ref="O3" location="'CR Rouge'!A1" display="Côtes du Roussillon Rouge" xr:uid="{35842176-49BD-4A7C-8AD4-85436FB22FCD}"/>
    <hyperlink ref="O4" location="'CR Rosé'!A1" display="Côtes du Roussillon Rosé" xr:uid="{9E406D16-FEEB-4FFF-99C9-7E25D8FD355C}"/>
    <hyperlink ref="O5" location="'CR Blanc'!A1" display="Côtes du Roussillon Blanc" xr:uid="{8B42E75A-466F-4442-91D9-B08ACF24B9BF}"/>
    <hyperlink ref="O6:R6" location="'CR Villages'!A1" display="Côtes du Roussillon Villages" xr:uid="{C6FC4CB4-2032-4C0E-AE19-177271617C10}"/>
    <hyperlink ref="O7:R7" location="'CR Villages Les Aspres'!A1" display="Côtes du Roussillon Villages Les Aspres" xr:uid="{DAC48DEB-DBD8-4357-B9A1-8974495F7B3A}"/>
    <hyperlink ref="O8:R8" location="'CRV LATOUR DE FRANCE'!A1" display="Côtes du Roussillon Villages Latour de France" xr:uid="{47BE1E26-7CE0-4556-8B74-3808AD60C154}"/>
    <hyperlink ref="O9:R9" location="'CRV CARAMANY'!A1" display="Côtes du Roussillon Villages Caramany" xr:uid="{ACE428BB-4023-433E-B62E-39205C9B518A}"/>
    <hyperlink ref="O10:R10" location="'CRV LESQUERDE'!A1" display="Côtes du Roussillon Villages Lesquerde" xr:uid="{DC668C74-659E-4FEC-91AB-8C00514061FF}"/>
    <hyperlink ref="O11:R11" location="'CRV TAUTAVEL'!A1" display="Côtes du Roussillon Villages Tautavel" xr:uid="{AC0D3E4C-931C-44DF-B131-B1DF87207C75}"/>
    <hyperlink ref="O12:R12" location="'MAURY SEC'!A1" display="Maury Sec" xr:uid="{6E95E3FE-6DEB-41E3-8FA7-0F775569780E}"/>
    <hyperlink ref="O13:R13" location="'MAURY Grenat ou Tuilé'!A1" display="Maury Grenat ou tuilé" xr:uid="{A44EF0C3-229C-4E43-A307-30266106FF88}"/>
    <hyperlink ref="O14:R14" location="'MAURY Ambré ou Blanc'!A1" display="Maury Ambré ou Blanc" xr:uid="{BADE573F-B440-4857-840E-358A272AD6B3}"/>
    <hyperlink ref="O15:R15" location="'Muscat de Riv.'!A1" display="Muscat de Rivesaltes" xr:uid="{CD34A531-3BAD-482D-A725-6AACAE55DE41}"/>
    <hyperlink ref="O16:R16" location="'Rivesaltes Ambré, Rosé ou Tuilé'!A1" display="Rivesaltes Ambé, Rosé ou Tuilé" xr:uid="{41E4455C-51E9-4122-A4D1-0B3CBEE30F35}"/>
    <hyperlink ref="O17:R17" location="'Rivesaltes Grenat'!A1" display="Rivesaltes Grenat" xr:uid="{5FD5BE37-3E12-449D-A895-501B3FD8569E}"/>
  </hyperlink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34"/>
  <sheetViews>
    <sheetView showGridLines="0" showRowColHeaders="0" zoomScale="115" zoomScaleNormal="115" workbookViewId="0">
      <selection activeCell="J24" sqref="J24"/>
    </sheetView>
  </sheetViews>
  <sheetFormatPr baseColWidth="10" defaultRowHeight="15" x14ac:dyDescent="0.25"/>
  <cols>
    <col min="2" max="2" width="18.7109375" customWidth="1"/>
    <col min="3" max="3" width="17.7109375" customWidth="1"/>
    <col min="6" max="9" width="0" hidden="1" customWidth="1"/>
    <col min="10" max="10" width="6.140625" customWidth="1"/>
    <col min="15" max="15" width="3.42578125" bestFit="1" customWidth="1"/>
    <col min="16" max="16" width="8.85546875" customWidth="1"/>
    <col min="17" max="17" width="10" customWidth="1"/>
    <col min="18" max="18" width="10.7109375" customWidth="1"/>
    <col min="19" max="19" width="6.5703125" customWidth="1"/>
  </cols>
  <sheetData>
    <row r="1" spans="2:19" ht="15.75" thickBot="1" x14ac:dyDescent="0.3"/>
    <row r="2" spans="2:19" ht="18.75" x14ac:dyDescent="0.3">
      <c r="B2" s="74" t="s">
        <v>132</v>
      </c>
      <c r="C2" s="74"/>
      <c r="D2" s="74"/>
      <c r="E2" s="74"/>
      <c r="O2" s="92" t="s">
        <v>170</v>
      </c>
      <c r="P2" s="93"/>
      <c r="Q2" s="93"/>
      <c r="R2" s="93"/>
      <c r="S2" s="94"/>
    </row>
    <row r="3" spans="2:19" ht="23.25" customHeight="1" x14ac:dyDescent="0.25">
      <c r="B3" s="75"/>
      <c r="C3" s="75"/>
      <c r="D3" s="75"/>
      <c r="E3" s="75"/>
      <c r="K3" s="72" t="s">
        <v>122</v>
      </c>
      <c r="L3" s="73"/>
      <c r="O3" s="50">
        <v>1</v>
      </c>
      <c r="P3" s="97" t="s">
        <v>107</v>
      </c>
      <c r="Q3" s="97"/>
      <c r="R3" s="97"/>
      <c r="S3" s="98"/>
    </row>
    <row r="4" spans="2:19" ht="38.25" customHeight="1" thickBot="1" x14ac:dyDescent="0.3">
      <c r="B4" s="15" t="s">
        <v>7</v>
      </c>
      <c r="C4" s="21" t="s">
        <v>87</v>
      </c>
      <c r="D4" s="15" t="s">
        <v>8</v>
      </c>
      <c r="E4" s="15" t="s">
        <v>9</v>
      </c>
      <c r="F4" t="s">
        <v>41</v>
      </c>
      <c r="G4" s="1" t="s">
        <v>13</v>
      </c>
      <c r="H4" s="1" t="s">
        <v>50</v>
      </c>
      <c r="I4" s="1" t="s">
        <v>14</v>
      </c>
      <c r="O4" s="50">
        <v>2</v>
      </c>
      <c r="P4" s="97" t="s">
        <v>109</v>
      </c>
      <c r="Q4" s="97"/>
      <c r="R4" s="97"/>
      <c r="S4" s="98"/>
    </row>
    <row r="5" spans="2:19" x14ac:dyDescent="0.25">
      <c r="B5" s="36" t="s">
        <v>18</v>
      </c>
      <c r="C5" s="5" t="s">
        <v>12</v>
      </c>
      <c r="D5" s="14"/>
      <c r="E5" s="8">
        <f>D5*100/D14</f>
        <v>0</v>
      </c>
      <c r="F5">
        <f>ROUND(E5,2)</f>
        <v>0</v>
      </c>
      <c r="G5">
        <f>IF(C5="P",F5,0)</f>
        <v>0</v>
      </c>
      <c r="H5">
        <f>IF(C5="C",F5,0)</f>
        <v>0</v>
      </c>
      <c r="I5">
        <f>IF(C5="A",F5,0)</f>
        <v>0</v>
      </c>
      <c r="K5" s="83" t="str">
        <f>IF(J17=0,"Encépagement conforme aux règles du Cahier des Charges","Encépagement NON conforme aux règles du Cahier des Charges")</f>
        <v>Encépagement NON conforme aux règles du Cahier des Charges</v>
      </c>
      <c r="L5" s="84"/>
      <c r="O5" s="50">
        <v>3</v>
      </c>
      <c r="P5" s="97" t="s">
        <v>110</v>
      </c>
      <c r="Q5" s="97"/>
      <c r="R5" s="97"/>
      <c r="S5" s="98"/>
    </row>
    <row r="6" spans="2:19" x14ac:dyDescent="0.25">
      <c r="B6" s="36" t="s">
        <v>19</v>
      </c>
      <c r="C6" s="5" t="s">
        <v>11</v>
      </c>
      <c r="D6" s="14"/>
      <c r="E6" s="8">
        <f>D6*100/D14</f>
        <v>0</v>
      </c>
      <c r="F6">
        <f>ROUND(E6,2)</f>
        <v>0</v>
      </c>
      <c r="G6">
        <f t="shared" ref="G6:G13" si="0">IF(C6="P",F6,0)</f>
        <v>0</v>
      </c>
      <c r="H6">
        <f t="shared" ref="H6:H13" si="1">IF(C6="C",F6,0)</f>
        <v>0</v>
      </c>
      <c r="I6">
        <f t="shared" ref="I6:I13" si="2">IF(C6="A",F6,0)</f>
        <v>0</v>
      </c>
      <c r="K6" s="85"/>
      <c r="L6" s="86"/>
      <c r="O6" s="50">
        <v>4</v>
      </c>
      <c r="P6" s="99" t="s">
        <v>108</v>
      </c>
      <c r="Q6" s="99"/>
      <c r="R6" s="99"/>
      <c r="S6" s="100"/>
    </row>
    <row r="7" spans="2:19" x14ac:dyDescent="0.25">
      <c r="B7" s="36" t="s">
        <v>20</v>
      </c>
      <c r="C7" s="5" t="s">
        <v>12</v>
      </c>
      <c r="D7" s="14"/>
      <c r="E7" s="8">
        <f>D7*100/D14</f>
        <v>0</v>
      </c>
      <c r="F7">
        <f t="shared" ref="F7:F13" si="3">ROUND(E7,2)</f>
        <v>0</v>
      </c>
      <c r="G7">
        <f t="shared" si="0"/>
        <v>0</v>
      </c>
      <c r="H7">
        <f t="shared" si="1"/>
        <v>0</v>
      </c>
      <c r="I7">
        <f t="shared" si="2"/>
        <v>0</v>
      </c>
      <c r="K7" s="85"/>
      <c r="L7" s="86"/>
      <c r="O7" s="50">
        <v>5</v>
      </c>
      <c r="P7" s="99" t="s">
        <v>111</v>
      </c>
      <c r="Q7" s="99"/>
      <c r="R7" s="99"/>
      <c r="S7" s="100"/>
    </row>
    <row r="8" spans="2:19" x14ac:dyDescent="0.25">
      <c r="B8" s="36" t="s">
        <v>21</v>
      </c>
      <c r="C8" s="5" t="s">
        <v>11</v>
      </c>
      <c r="D8" s="14"/>
      <c r="E8" s="8">
        <f>D8*100/D14</f>
        <v>0</v>
      </c>
      <c r="F8">
        <f t="shared" si="3"/>
        <v>0</v>
      </c>
      <c r="G8">
        <f t="shared" si="0"/>
        <v>0</v>
      </c>
      <c r="H8">
        <f t="shared" si="1"/>
        <v>0</v>
      </c>
      <c r="I8">
        <f t="shared" si="2"/>
        <v>0</v>
      </c>
      <c r="K8" s="85"/>
      <c r="L8" s="86"/>
      <c r="O8" s="50">
        <v>6</v>
      </c>
      <c r="P8" s="99" t="s">
        <v>112</v>
      </c>
      <c r="Q8" s="99"/>
      <c r="R8" s="99"/>
      <c r="S8" s="100"/>
    </row>
    <row r="9" spans="2:19" ht="15.75" thickBot="1" x14ac:dyDescent="0.3">
      <c r="B9" s="36" t="s">
        <v>23</v>
      </c>
      <c r="C9" s="5" t="s">
        <v>22</v>
      </c>
      <c r="D9" s="14"/>
      <c r="E9" s="8">
        <f>D9*100/D14</f>
        <v>0</v>
      </c>
      <c r="F9">
        <f t="shared" si="3"/>
        <v>0</v>
      </c>
      <c r="G9">
        <f t="shared" si="0"/>
        <v>0</v>
      </c>
      <c r="H9">
        <f t="shared" si="1"/>
        <v>0</v>
      </c>
      <c r="I9">
        <f t="shared" si="2"/>
        <v>0</v>
      </c>
      <c r="K9" s="87"/>
      <c r="L9" s="88"/>
      <c r="O9" s="50">
        <v>7</v>
      </c>
      <c r="P9" s="99" t="s">
        <v>113</v>
      </c>
      <c r="Q9" s="99"/>
      <c r="R9" s="99"/>
      <c r="S9" s="100"/>
    </row>
    <row r="10" spans="2:19" x14ac:dyDescent="0.25">
      <c r="B10" s="36" t="s">
        <v>51</v>
      </c>
      <c r="C10" s="5" t="s">
        <v>22</v>
      </c>
      <c r="D10" s="14"/>
      <c r="E10" s="8">
        <f>D10*100/D14</f>
        <v>0</v>
      </c>
      <c r="F10">
        <f t="shared" si="3"/>
        <v>0</v>
      </c>
      <c r="G10">
        <f t="shared" si="0"/>
        <v>0</v>
      </c>
      <c r="H10">
        <f t="shared" si="1"/>
        <v>0</v>
      </c>
      <c r="I10">
        <f t="shared" si="2"/>
        <v>0</v>
      </c>
      <c r="O10" s="50">
        <v>8</v>
      </c>
      <c r="P10" s="99" t="s">
        <v>114</v>
      </c>
      <c r="Q10" s="99"/>
      <c r="R10" s="99"/>
      <c r="S10" s="100"/>
    </row>
    <row r="11" spans="2:19" x14ac:dyDescent="0.25">
      <c r="B11" s="36" t="s">
        <v>24</v>
      </c>
      <c r="C11" s="5" t="s">
        <v>22</v>
      </c>
      <c r="D11" s="14"/>
      <c r="E11" s="8">
        <f>D11*100/D14</f>
        <v>0</v>
      </c>
      <c r="F11">
        <f t="shared" si="3"/>
        <v>0</v>
      </c>
      <c r="G11">
        <f t="shared" si="0"/>
        <v>0</v>
      </c>
      <c r="H11">
        <f t="shared" si="1"/>
        <v>0</v>
      </c>
      <c r="I11">
        <f t="shared" si="2"/>
        <v>0</v>
      </c>
      <c r="K11" s="91" t="s">
        <v>101</v>
      </c>
      <c r="L11" s="91"/>
      <c r="M11" s="25">
        <f>D6+D8+D12</f>
        <v>0.1661</v>
      </c>
      <c r="O11" s="50">
        <v>9</v>
      </c>
      <c r="P11" s="99" t="s">
        <v>115</v>
      </c>
      <c r="Q11" s="99"/>
      <c r="R11" s="99"/>
      <c r="S11" s="100"/>
    </row>
    <row r="12" spans="2:19" x14ac:dyDescent="0.25">
      <c r="B12" s="36" t="s">
        <v>6</v>
      </c>
      <c r="C12" s="5" t="s">
        <v>11</v>
      </c>
      <c r="D12" s="14">
        <v>0.1661</v>
      </c>
      <c r="E12" s="8">
        <f>D12*100/D14</f>
        <v>100</v>
      </c>
      <c r="F12">
        <f t="shared" si="3"/>
        <v>100</v>
      </c>
      <c r="G12">
        <f t="shared" si="0"/>
        <v>100</v>
      </c>
      <c r="H12">
        <f t="shared" si="1"/>
        <v>0</v>
      </c>
      <c r="I12">
        <f t="shared" si="2"/>
        <v>0</v>
      </c>
      <c r="K12" s="91" t="s">
        <v>138</v>
      </c>
      <c r="L12" s="91"/>
      <c r="M12" s="25">
        <f>(M11*100)/50</f>
        <v>0.3322</v>
      </c>
      <c r="O12" s="50">
        <v>10</v>
      </c>
      <c r="P12" s="99" t="s">
        <v>116</v>
      </c>
      <c r="Q12" s="99"/>
      <c r="R12" s="99"/>
      <c r="S12" s="100"/>
    </row>
    <row r="13" spans="2:19" x14ac:dyDescent="0.25">
      <c r="B13" s="36" t="s">
        <v>25</v>
      </c>
      <c r="C13" s="5" t="s">
        <v>22</v>
      </c>
      <c r="D13" s="14"/>
      <c r="E13" s="8">
        <f>D13*100/D14</f>
        <v>0</v>
      </c>
      <c r="F13">
        <f t="shared" si="3"/>
        <v>0</v>
      </c>
      <c r="G13">
        <f t="shared" si="0"/>
        <v>0</v>
      </c>
      <c r="H13">
        <f t="shared" si="1"/>
        <v>0</v>
      </c>
      <c r="I13">
        <f t="shared" si="2"/>
        <v>0</v>
      </c>
      <c r="O13" s="50">
        <v>11</v>
      </c>
      <c r="P13" s="99" t="s">
        <v>117</v>
      </c>
      <c r="Q13" s="99"/>
      <c r="R13" s="99"/>
      <c r="S13" s="100"/>
    </row>
    <row r="14" spans="2:19" x14ac:dyDescent="0.25">
      <c r="B14" s="81" t="s">
        <v>10</v>
      </c>
      <c r="C14" s="82"/>
      <c r="D14" s="12">
        <f>SUM(D5:D13)</f>
        <v>0.1661</v>
      </c>
      <c r="E14" s="20">
        <f>SUM(E5:E13)</f>
        <v>100</v>
      </c>
      <c r="F14">
        <f t="shared" ref="F14:I14" si="4">SUM(F5:F13)</f>
        <v>100</v>
      </c>
      <c r="G14">
        <f t="shared" si="4"/>
        <v>100</v>
      </c>
      <c r="H14">
        <f t="shared" si="4"/>
        <v>0</v>
      </c>
      <c r="I14">
        <f t="shared" si="4"/>
        <v>0</v>
      </c>
      <c r="O14" s="50">
        <v>12</v>
      </c>
      <c r="P14" s="99" t="s">
        <v>118</v>
      </c>
      <c r="Q14" s="99"/>
      <c r="R14" s="99"/>
      <c r="S14" s="100"/>
    </row>
    <row r="15" spans="2:19" s="48" customFormat="1" ht="15" customHeight="1" x14ac:dyDescent="0.25">
      <c r="D15" s="48">
        <f>COUNT(D5:D13)</f>
        <v>1</v>
      </c>
      <c r="E15" s="49"/>
      <c r="F15" s="49">
        <f>MAX(F5:F13)</f>
        <v>100</v>
      </c>
      <c r="O15" s="50">
        <v>13</v>
      </c>
      <c r="P15" s="99" t="s">
        <v>119</v>
      </c>
      <c r="Q15" s="99"/>
      <c r="R15" s="99"/>
      <c r="S15" s="100"/>
    </row>
    <row r="16" spans="2:19" ht="15.75" thickBot="1" x14ac:dyDescent="0.3">
      <c r="K16" s="91" t="s">
        <v>103</v>
      </c>
      <c r="L16" s="91"/>
      <c r="M16" s="27">
        <f>(E6+E8+E12)/100</f>
        <v>1</v>
      </c>
      <c r="O16" s="50">
        <v>14</v>
      </c>
      <c r="P16" s="99" t="s">
        <v>120</v>
      </c>
      <c r="Q16" s="99"/>
      <c r="R16" s="99"/>
      <c r="S16" s="100"/>
    </row>
    <row r="17" spans="2:19" ht="16.5" thickBot="1" x14ac:dyDescent="0.3">
      <c r="B17" s="78" t="s">
        <v>71</v>
      </c>
      <c r="C17" s="79"/>
      <c r="D17" s="79"/>
      <c r="E17" s="80"/>
      <c r="J17" s="18">
        <f>SUM(J18:J22)</f>
        <v>2</v>
      </c>
      <c r="K17" s="91" t="s">
        <v>104</v>
      </c>
      <c r="L17" s="91"/>
      <c r="M17" s="26">
        <f>(E5+E7)/100</f>
        <v>0</v>
      </c>
      <c r="O17" s="51">
        <v>15</v>
      </c>
      <c r="P17" s="95" t="s">
        <v>121</v>
      </c>
      <c r="Q17" s="95"/>
      <c r="R17" s="95"/>
      <c r="S17" s="96"/>
    </row>
    <row r="18" spans="2:19" x14ac:dyDescent="0.25">
      <c r="B18" s="101" t="s">
        <v>16</v>
      </c>
      <c r="C18" s="102"/>
      <c r="D18" s="102"/>
      <c r="E18" s="19" t="str">
        <f>D30</f>
        <v>anomalie</v>
      </c>
      <c r="J18" s="18">
        <f>IF(E18="conforme",0,1)</f>
        <v>1</v>
      </c>
      <c r="K18" s="91" t="s">
        <v>105</v>
      </c>
      <c r="L18" s="91"/>
      <c r="M18" s="26">
        <f>(E9+E10+E11+E13)/100</f>
        <v>0</v>
      </c>
    </row>
    <row r="19" spans="2:19" ht="30" customHeight="1" x14ac:dyDescent="0.25">
      <c r="B19" s="76" t="s">
        <v>84</v>
      </c>
      <c r="C19" s="77"/>
      <c r="D19" s="77"/>
      <c r="E19" s="10" t="str">
        <f>G31</f>
        <v>conforme</v>
      </c>
      <c r="J19" s="18">
        <f t="shared" ref="J19:J22" si="5">IF(E19="conforme",0,1)</f>
        <v>0</v>
      </c>
    </row>
    <row r="20" spans="2:19" ht="30" customHeight="1" x14ac:dyDescent="0.25">
      <c r="B20" s="103" t="s">
        <v>88</v>
      </c>
      <c r="C20" s="104"/>
      <c r="D20" s="104"/>
      <c r="E20" s="10" t="str">
        <f>H32</f>
        <v>conforme</v>
      </c>
      <c r="J20" s="18">
        <f t="shared" si="5"/>
        <v>0</v>
      </c>
    </row>
    <row r="21" spans="2:19" x14ac:dyDescent="0.25">
      <c r="B21" s="68" t="s">
        <v>85</v>
      </c>
      <c r="C21" s="69"/>
      <c r="D21" s="69"/>
      <c r="E21" s="10" t="str">
        <f>I33</f>
        <v>conforme</v>
      </c>
      <c r="J21" s="18">
        <f t="shared" si="5"/>
        <v>0</v>
      </c>
    </row>
    <row r="22" spans="2:19" ht="15.75" thickBot="1" x14ac:dyDescent="0.3">
      <c r="B22" s="70" t="s">
        <v>86</v>
      </c>
      <c r="C22" s="71"/>
      <c r="D22" s="71"/>
      <c r="E22" s="11" t="str">
        <f>F34</f>
        <v>anomalie</v>
      </c>
      <c r="J22" s="18">
        <f t="shared" si="5"/>
        <v>1</v>
      </c>
    </row>
    <row r="24" spans="2:19" x14ac:dyDescent="0.25">
      <c r="B24" t="s">
        <v>78</v>
      </c>
      <c r="E24" s="4"/>
      <c r="F24" s="4"/>
      <c r="I24" s="18"/>
    </row>
    <row r="25" spans="2:19" x14ac:dyDescent="0.25">
      <c r="B25" t="s">
        <v>80</v>
      </c>
      <c r="E25" s="4"/>
      <c r="F25" s="4"/>
    </row>
    <row r="26" spans="2:19" x14ac:dyDescent="0.25">
      <c r="B26" t="s">
        <v>79</v>
      </c>
      <c r="E26" s="4"/>
      <c r="F26" s="4"/>
    </row>
    <row r="27" spans="2:19" x14ac:dyDescent="0.25">
      <c r="B27" t="str">
        <f>"* Potentiel calculé sur la base de la règle la plus limitante ("&amp;K12&amp;"), sans préjuger de l'encépagement restant sur l'exploitation."</f>
        <v>* Potentiel calculé sur la base de la règle la plus limitante (Potentiel max * :), sans préjuger de l'encépagement restant sur l'exploitation.</v>
      </c>
    </row>
    <row r="30" spans="2:19" hidden="1" x14ac:dyDescent="0.25">
      <c r="B30" t="s">
        <v>16</v>
      </c>
      <c r="D30" t="str">
        <f>IF(D15&gt;=2,"conforme","anomalie" )</f>
        <v>anomalie</v>
      </c>
    </row>
    <row r="31" spans="2:19" ht="60" hidden="1" x14ac:dyDescent="0.25">
      <c r="B31" s="1" t="s">
        <v>56</v>
      </c>
      <c r="G31" t="str">
        <f>IF(G14&gt;=50,"conforme","anomalie" )</f>
        <v>conforme</v>
      </c>
    </row>
    <row r="32" spans="2:19" ht="135" hidden="1" x14ac:dyDescent="0.25">
      <c r="B32" s="1" t="s">
        <v>67</v>
      </c>
      <c r="H32" t="str">
        <f>IF(H14+I14&lt;=50,"conforme","anomalie" )</f>
        <v>conforme</v>
      </c>
    </row>
    <row r="33" spans="2:9" ht="45" hidden="1" x14ac:dyDescent="0.25">
      <c r="B33" s="1" t="s">
        <v>57</v>
      </c>
      <c r="I33" t="str">
        <f>IF(I14&lt;=10,"conforme","anomalie" )</f>
        <v>conforme</v>
      </c>
    </row>
    <row r="34" spans="2:9" hidden="1" x14ac:dyDescent="0.25">
      <c r="B34" t="s">
        <v>26</v>
      </c>
      <c r="F34" t="str">
        <f>IF(F15&lt;=80,"conforme","anomalie" )</f>
        <v>anomalie</v>
      </c>
    </row>
  </sheetData>
  <sheetProtection algorithmName="SHA-512" hashValue="rgG1S2XYkZ2XLfsSl5I1WLvLsX2w4H7gay8DIT7qdWY/mrgoogq7jxQuVhp7scrdGxXEyq/fgPYi5pzcN/hdSQ==" saltValue="jgF3lViam34eRA1TsyVZcQ==" spinCount="100000" sheet="1" objects="1" scenarios="1"/>
  <mergeCells count="31">
    <mergeCell ref="P17:S17"/>
    <mergeCell ref="P12:S12"/>
    <mergeCell ref="P13:S13"/>
    <mergeCell ref="P14:S14"/>
    <mergeCell ref="P15:S15"/>
    <mergeCell ref="P16:S16"/>
    <mergeCell ref="P7:S7"/>
    <mergeCell ref="P8:S8"/>
    <mergeCell ref="P9:S9"/>
    <mergeCell ref="P10:S10"/>
    <mergeCell ref="P11:S11"/>
    <mergeCell ref="O2:S2"/>
    <mergeCell ref="P3:S3"/>
    <mergeCell ref="P4:S4"/>
    <mergeCell ref="P5:S5"/>
    <mergeCell ref="P6:S6"/>
    <mergeCell ref="B20:D20"/>
    <mergeCell ref="B21:D21"/>
    <mergeCell ref="B22:D22"/>
    <mergeCell ref="B14:C14"/>
    <mergeCell ref="K11:L11"/>
    <mergeCell ref="K12:L12"/>
    <mergeCell ref="K17:L17"/>
    <mergeCell ref="K18:L18"/>
    <mergeCell ref="K16:L16"/>
    <mergeCell ref="K5:L9"/>
    <mergeCell ref="B17:E17"/>
    <mergeCell ref="B18:D18"/>
    <mergeCell ref="B19:D19"/>
    <mergeCell ref="K3:L3"/>
    <mergeCell ref="B2:E3"/>
  </mergeCells>
  <conditionalFormatting sqref="D30">
    <cfRule type="containsText" dxfId="253" priority="14" operator="containsText" text="conforme">
      <formula>NOT(ISERROR(SEARCH("conforme",D30)))</formula>
    </cfRule>
    <cfRule type="containsText" dxfId="252" priority="15" operator="containsText" text="anomalie">
      <formula>NOT(ISERROR(SEARCH("anomalie",D30)))</formula>
    </cfRule>
    <cfRule type="containsText" dxfId="251" priority="28" operator="containsText" text="OK">
      <formula>NOT(ISERROR(SEARCH("OK",D30)))</formula>
    </cfRule>
    <cfRule type="containsText" dxfId="250" priority="29" operator="containsText" text="Non conforme">
      <formula>NOT(ISERROR(SEARCH("Non conforme",D30)))</formula>
    </cfRule>
  </conditionalFormatting>
  <conditionalFormatting sqref="G31:G33">
    <cfRule type="containsText" dxfId="249" priority="26" operator="containsText" text="OK">
      <formula>NOT(ISERROR(SEARCH("OK",G31)))</formula>
    </cfRule>
    <cfRule type="containsText" dxfId="248" priority="27" operator="containsText" text="Non conforme">
      <formula>NOT(ISERROR(SEARCH("Non conforme",G31)))</formula>
    </cfRule>
  </conditionalFormatting>
  <conditionalFormatting sqref="E34:F34">
    <cfRule type="containsText" dxfId="247" priority="24" operator="containsText" text="OK">
      <formula>NOT(ISERROR(SEARCH("OK",E34)))</formula>
    </cfRule>
    <cfRule type="containsText" dxfId="246" priority="25" operator="containsText" text="Non conforme">
      <formula>NOT(ISERROR(SEARCH("Non conforme",E34)))</formula>
    </cfRule>
  </conditionalFormatting>
  <conditionalFormatting sqref="H35">
    <cfRule type="containsText" dxfId="245" priority="22" operator="containsText" text="OK">
      <formula>NOT(ISERROR(SEARCH("OK",H35)))</formula>
    </cfRule>
    <cfRule type="containsText" dxfId="244" priority="23" operator="containsText" text="Non conforme">
      <formula>NOT(ISERROR(SEARCH("Non conforme",H35)))</formula>
    </cfRule>
  </conditionalFormatting>
  <conditionalFormatting sqref="I33">
    <cfRule type="containsText" dxfId="243" priority="9" operator="containsText" text="conforme">
      <formula>NOT(ISERROR(SEARCH("conforme",I33)))</formula>
    </cfRule>
    <cfRule type="containsText" dxfId="242" priority="10" operator="containsText" text="anomalie">
      <formula>NOT(ISERROR(SEARCH("anomalie",I33)))</formula>
    </cfRule>
    <cfRule type="containsText" dxfId="241" priority="18" operator="containsText" text="OK">
      <formula>NOT(ISERROR(SEARCH("OK",I33)))</formula>
    </cfRule>
    <cfRule type="containsText" dxfId="240" priority="19" operator="containsText" text="Non conforme">
      <formula>NOT(ISERROR(SEARCH("Non conforme",I33)))</formula>
    </cfRule>
  </conditionalFormatting>
  <conditionalFormatting sqref="H32">
    <cfRule type="containsText" dxfId="239" priority="11" operator="containsText" text="anomalie">
      <formula>NOT(ISERROR(SEARCH("anomalie",H32)))</formula>
    </cfRule>
    <cfRule type="containsText" dxfId="238" priority="16" operator="containsText" text="OK">
      <formula>NOT(ISERROR(SEARCH("OK",H32)))</formula>
    </cfRule>
    <cfRule type="containsText" dxfId="237" priority="17" operator="containsText" text="Non conforme">
      <formula>NOT(ISERROR(SEARCH("Non conforme",H32)))</formula>
    </cfRule>
  </conditionalFormatting>
  <conditionalFormatting sqref="G31">
    <cfRule type="containsText" dxfId="236" priority="12" operator="containsText" text="anomalie">
      <formula>NOT(ISERROR(SEARCH("anomalie",G31)))</formula>
    </cfRule>
    <cfRule type="containsText" dxfId="235" priority="13" operator="containsText" text="conforme">
      <formula>NOT(ISERROR(SEARCH("conforme",G31)))</formula>
    </cfRule>
  </conditionalFormatting>
  <conditionalFormatting sqref="F34">
    <cfRule type="containsText" dxfId="234" priority="7" operator="containsText" text="anomalie">
      <formula>NOT(ISERROR(SEARCH("anomalie",F34)))</formula>
    </cfRule>
    <cfRule type="containsText" dxfId="233" priority="8" operator="containsText" text="conforme">
      <formula>NOT(ISERROR(SEARCH("conforme",F34)))</formula>
    </cfRule>
  </conditionalFormatting>
  <conditionalFormatting sqref="E18:E22">
    <cfRule type="containsText" dxfId="232" priority="3" operator="containsText" text="anomalie">
      <formula>NOT(ISERROR(SEARCH("anomalie",E18)))</formula>
    </cfRule>
    <cfRule type="containsText" dxfId="231" priority="4" operator="containsText" text="conforme">
      <formula>NOT(ISERROR(SEARCH("conforme",E18)))</formula>
    </cfRule>
    <cfRule type="containsText" dxfId="230" priority="5" operator="containsText" text="OK">
      <formula>NOT(ISERROR(SEARCH("OK",E18)))</formula>
    </cfRule>
    <cfRule type="containsText" dxfId="229" priority="6" operator="containsText" text="Non conforme">
      <formula>NOT(ISERROR(SEARCH("Non conforme",E18)))</formula>
    </cfRule>
  </conditionalFormatting>
  <conditionalFormatting sqref="K5:L9">
    <cfRule type="expression" dxfId="228" priority="1">
      <formula>$J$17&gt;0</formula>
    </cfRule>
    <cfRule type="expression" dxfId="227" priority="2">
      <formula>$J$17=0</formula>
    </cfRule>
  </conditionalFormatting>
  <hyperlinks>
    <hyperlink ref="K3" location="'Outil contrôle encépagement'!A1" display="Retour à l'accueil" xr:uid="{1B016CA2-8AAE-498D-8184-7F716FC50A9B}"/>
    <hyperlink ref="P3" location="'CR Rouge'!A1" display="Côtes du Roussillon Rouge" xr:uid="{4367DF59-0891-41BB-A7CB-C519A701186D}"/>
    <hyperlink ref="P4" location="'CR Rosé'!A1" display="Côtes du Roussillon Rosé" xr:uid="{260DEF4B-9650-4593-945D-756FA759B114}"/>
    <hyperlink ref="P5" location="'CR Blanc'!A1" display="Côtes du Roussillon Blanc" xr:uid="{B4E054AA-453A-4AFC-8F62-5E457123ACA5}"/>
    <hyperlink ref="P6:S6" location="'CR Villages'!A1" display="Côtes du Roussillon Villages" xr:uid="{B795CB58-56CE-4937-A39E-2057F26FCB07}"/>
    <hyperlink ref="P7:S7" location="'CR Villages Les Aspres'!A1" display="Côtes du Roussillon Villages Les Aspres" xr:uid="{28F69B85-132B-4650-9F99-A16C83C0875F}"/>
    <hyperlink ref="P8:S8" location="'CRV LATOUR DE FRANCE'!A1" display="Côtes du Roussillon Villages Latour de France" xr:uid="{B79E3717-893C-43F9-A051-6C30798CAC53}"/>
    <hyperlink ref="P9:S9" location="'CRV CARAMANY'!A1" display="Côtes du Roussillon Villages Caramany" xr:uid="{B41D890B-B651-4C11-8279-5DA026576014}"/>
    <hyperlink ref="P10:S10" location="'CRV LESQUERDE'!A1" display="Côtes du Roussillon Villages Lesquerde" xr:uid="{6F73E8DB-3F50-436A-B09A-3E88B0B5359E}"/>
    <hyperlink ref="P11:S11" location="'CRV TAUTAVEL'!A1" display="Côtes du Roussillon Villages Tautavel" xr:uid="{38E5852B-62AD-47D9-81F6-26E8CF9202D5}"/>
    <hyperlink ref="P12:S12" location="'MAURY SEC'!A1" display="Maury Sec" xr:uid="{AF6A70FE-E488-4911-AFB4-E057ADFF1187}"/>
    <hyperlink ref="P13:S13" location="'MAURY Grenat ou Tuilé'!A1" display="Maury Grenat ou tuilé" xr:uid="{568B9570-E046-4EA3-AAA5-04CEBB3382A5}"/>
    <hyperlink ref="P14:S14" location="'MAURY Ambré ou Blanc'!A1" display="Maury Ambré ou Blanc" xr:uid="{2E063083-2020-4603-A775-1D17BD6A6B5F}"/>
    <hyperlink ref="P15:S15" location="'Muscat de Riv.'!A1" display="Muscat de Rivesaltes" xr:uid="{6E66167F-D83C-4B1D-AE3B-E5A171EAC6CB}"/>
    <hyperlink ref="P16:S16" location="'Rivesaltes Ambré, Rosé ou Tuilé'!A1" display="Rivesaltes Ambé, Rosé ou Tuilé" xr:uid="{B0413280-DC35-4C59-9E48-51BF1C928632}"/>
    <hyperlink ref="P17:S17" location="'Rivesaltes Grenat'!A1" display="Rivesaltes Grenat" xr:uid="{260DE823-6B40-47F1-8A81-597C4401010E}"/>
  </hyperlinks>
  <pageMargins left="0.7" right="0.7" top="0.75" bottom="0.75"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37"/>
  <sheetViews>
    <sheetView showGridLines="0" showRowColHeaders="0" zoomScale="115" zoomScaleNormal="115" workbookViewId="0">
      <selection activeCell="J38" sqref="J38"/>
    </sheetView>
  </sheetViews>
  <sheetFormatPr baseColWidth="10" defaultRowHeight="15" x14ac:dyDescent="0.25"/>
  <cols>
    <col min="2" max="2" width="18.7109375" customWidth="1"/>
    <col min="3" max="3" width="13.28515625" customWidth="1"/>
    <col min="6" max="8" width="0" hidden="1" customWidth="1"/>
    <col min="9" max="9" width="6"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133</v>
      </c>
      <c r="C2" s="74"/>
      <c r="D2" s="74"/>
      <c r="E2" s="74"/>
      <c r="N2" s="92" t="s">
        <v>170</v>
      </c>
      <c r="O2" s="93"/>
      <c r="P2" s="93"/>
      <c r="Q2" s="93"/>
      <c r="R2" s="94"/>
    </row>
    <row r="3" spans="2:18" ht="24" customHeight="1" x14ac:dyDescent="0.25">
      <c r="B3" s="75"/>
      <c r="C3" s="75"/>
      <c r="D3" s="75"/>
      <c r="E3" s="75"/>
      <c r="J3" s="72" t="s">
        <v>122</v>
      </c>
      <c r="K3" s="73"/>
      <c r="N3" s="50">
        <v>1</v>
      </c>
      <c r="O3" s="97" t="s">
        <v>107</v>
      </c>
      <c r="P3" s="97"/>
      <c r="Q3" s="97"/>
      <c r="R3" s="98"/>
    </row>
    <row r="4" spans="2:18" ht="30.75" thickBot="1" x14ac:dyDescent="0.3">
      <c r="B4" s="15" t="s">
        <v>7</v>
      </c>
      <c r="C4" s="16" t="s">
        <v>77</v>
      </c>
      <c r="D4" s="15" t="s">
        <v>8</v>
      </c>
      <c r="E4" s="15" t="s">
        <v>9</v>
      </c>
      <c r="F4" t="s">
        <v>41</v>
      </c>
      <c r="G4" s="1" t="s">
        <v>13</v>
      </c>
      <c r="H4" s="1" t="s">
        <v>14</v>
      </c>
      <c r="N4" s="50">
        <v>2</v>
      </c>
      <c r="O4" s="97" t="s">
        <v>109</v>
      </c>
      <c r="P4" s="97"/>
      <c r="Q4" s="97"/>
      <c r="R4" s="98"/>
    </row>
    <row r="5" spans="2:18" x14ac:dyDescent="0.25">
      <c r="B5" s="36" t="s">
        <v>0</v>
      </c>
      <c r="C5" s="5" t="s">
        <v>11</v>
      </c>
      <c r="D5" s="14">
        <v>0.86299999999999999</v>
      </c>
      <c r="E5" s="8">
        <f>D5*100/D10</f>
        <v>10.948303203298446</v>
      </c>
      <c r="F5" s="4">
        <f>ROUND(E5,2)</f>
        <v>10.95</v>
      </c>
      <c r="G5">
        <f>IF(C5="P",F5,0)</f>
        <v>10.95</v>
      </c>
      <c r="H5">
        <f>IF(C5="A",E5,0)</f>
        <v>0</v>
      </c>
      <c r="J5" s="83" t="str">
        <f>IF(I13=0,"Encépagement conforme aux règles du Cahier des Charges","Encépagement NON conforme aux règles du Cahier des Charges")</f>
        <v>Encépagement conforme aux règles du Cahier des Charges</v>
      </c>
      <c r="K5" s="84"/>
      <c r="N5" s="50">
        <v>3</v>
      </c>
      <c r="O5" s="97" t="s">
        <v>110</v>
      </c>
      <c r="P5" s="97"/>
      <c r="Q5" s="97"/>
      <c r="R5" s="98"/>
    </row>
    <row r="6" spans="2:18" x14ac:dyDescent="0.25">
      <c r="B6" s="36" t="s">
        <v>1</v>
      </c>
      <c r="C6" s="5" t="s">
        <v>11</v>
      </c>
      <c r="D6" s="14">
        <v>3.3414999999999999</v>
      </c>
      <c r="E6" s="8">
        <f>D6*100/D10</f>
        <v>42.391373295274342</v>
      </c>
      <c r="F6" s="4">
        <f>ROUND(E6,2)</f>
        <v>42.39</v>
      </c>
      <c r="G6">
        <f>IF(C6="P",F6,0)</f>
        <v>42.39</v>
      </c>
      <c r="H6">
        <f>IF(C6="A",E6,0)</f>
        <v>0</v>
      </c>
      <c r="J6" s="85"/>
      <c r="K6" s="86"/>
      <c r="N6" s="50">
        <v>4</v>
      </c>
      <c r="O6" s="99" t="s">
        <v>108</v>
      </c>
      <c r="P6" s="99"/>
      <c r="Q6" s="99"/>
      <c r="R6" s="100"/>
    </row>
    <row r="7" spans="2:18" x14ac:dyDescent="0.25">
      <c r="B7" s="36" t="s">
        <v>2</v>
      </c>
      <c r="C7" s="5" t="s">
        <v>11</v>
      </c>
      <c r="D7" s="14">
        <v>1.6779999999999999</v>
      </c>
      <c r="E7" s="8">
        <f>D7*100/D10</f>
        <v>21.287662543609262</v>
      </c>
      <c r="F7" s="4">
        <f t="shared" ref="F7:F9" si="0">ROUND(E7,2)</f>
        <v>21.29</v>
      </c>
      <c r="G7">
        <f>IF(C7="P",F7,0)</f>
        <v>21.29</v>
      </c>
      <c r="H7">
        <f>IF(C7="A",E7,0)</f>
        <v>0</v>
      </c>
      <c r="J7" s="85"/>
      <c r="K7" s="86"/>
      <c r="N7" s="50">
        <v>5</v>
      </c>
      <c r="O7" s="99" t="s">
        <v>111</v>
      </c>
      <c r="P7" s="99"/>
      <c r="Q7" s="99"/>
      <c r="R7" s="100"/>
    </row>
    <row r="8" spans="2:18" x14ac:dyDescent="0.25">
      <c r="B8" s="36" t="s">
        <v>3</v>
      </c>
      <c r="C8" s="5" t="s">
        <v>11</v>
      </c>
      <c r="D8" s="14">
        <v>1</v>
      </c>
      <c r="E8" s="8">
        <f>D8*100/D10</f>
        <v>12.686330478908976</v>
      </c>
      <c r="F8" s="4">
        <f t="shared" si="0"/>
        <v>12.69</v>
      </c>
      <c r="G8">
        <f>IF(C8="P",F8,0)</f>
        <v>12.69</v>
      </c>
      <c r="H8">
        <f>IF(C8="A",E8,0)</f>
        <v>0</v>
      </c>
      <c r="J8" s="85"/>
      <c r="K8" s="86"/>
      <c r="N8" s="50">
        <v>6</v>
      </c>
      <c r="O8" s="99" t="s">
        <v>112</v>
      </c>
      <c r="P8" s="99"/>
      <c r="Q8" s="99"/>
      <c r="R8" s="100"/>
    </row>
    <row r="9" spans="2:18" ht="15.75" thickBot="1" x14ac:dyDescent="0.3">
      <c r="B9" s="36" t="s">
        <v>5</v>
      </c>
      <c r="C9" s="5" t="s">
        <v>12</v>
      </c>
      <c r="D9" s="14">
        <v>1</v>
      </c>
      <c r="E9" s="8">
        <f>D9*100/D10</f>
        <v>12.686330478908976</v>
      </c>
      <c r="F9" s="4">
        <f t="shared" si="0"/>
        <v>12.69</v>
      </c>
      <c r="G9">
        <f>IF(C9="P",F9,0)</f>
        <v>0</v>
      </c>
      <c r="H9">
        <f>IF(C9="A",E9,0)</f>
        <v>12.686330478908976</v>
      </c>
      <c r="J9" s="87"/>
      <c r="K9" s="88"/>
      <c r="N9" s="50">
        <v>7</v>
      </c>
      <c r="O9" s="99" t="s">
        <v>113</v>
      </c>
      <c r="P9" s="99"/>
      <c r="Q9" s="99"/>
      <c r="R9" s="100"/>
    </row>
    <row r="10" spans="2:18" x14ac:dyDescent="0.25">
      <c r="B10" s="81" t="s">
        <v>10</v>
      </c>
      <c r="C10" s="82"/>
      <c r="D10" s="23">
        <f>SUM(D5:D9)</f>
        <v>7.8824999999999994</v>
      </c>
      <c r="E10" s="22">
        <f>SUM(E5:E9)</f>
        <v>99.999999999999986</v>
      </c>
      <c r="F10">
        <f>SUM(F5:F9)</f>
        <v>100.00999999999999</v>
      </c>
      <c r="G10">
        <f>SUM(G5:G9)</f>
        <v>87.32</v>
      </c>
      <c r="H10">
        <f>SUM(H5:H9)</f>
        <v>12.686330478908976</v>
      </c>
      <c r="N10" s="50">
        <v>8</v>
      </c>
      <c r="O10" s="99" t="s">
        <v>114</v>
      </c>
      <c r="P10" s="99"/>
      <c r="Q10" s="99"/>
      <c r="R10" s="100"/>
    </row>
    <row r="11" spans="2:18" x14ac:dyDescent="0.25">
      <c r="D11" s="38">
        <f>COUNT(D5:D9)</f>
        <v>5</v>
      </c>
      <c r="F11" s="4">
        <f>MAX(F5:F9)</f>
        <v>42.39</v>
      </c>
      <c r="N11" s="50">
        <v>9</v>
      </c>
      <c r="O11" s="99" t="s">
        <v>115</v>
      </c>
      <c r="P11" s="99"/>
      <c r="Q11" s="99"/>
      <c r="R11" s="100"/>
    </row>
    <row r="12" spans="2:18" ht="15.75" thickBot="1" x14ac:dyDescent="0.3">
      <c r="F12" s="4"/>
      <c r="J12" s="91" t="s">
        <v>102</v>
      </c>
      <c r="K12" s="91"/>
      <c r="L12" s="25">
        <f>D7+D8</f>
        <v>2.6779999999999999</v>
      </c>
      <c r="N12" s="50">
        <v>10</v>
      </c>
      <c r="O12" s="99" t="s">
        <v>116</v>
      </c>
      <c r="P12" s="99"/>
      <c r="Q12" s="99"/>
      <c r="R12" s="100"/>
    </row>
    <row r="13" spans="2:18" ht="16.5" thickBot="1" x14ac:dyDescent="0.3">
      <c r="B13" s="78" t="s">
        <v>71</v>
      </c>
      <c r="C13" s="79"/>
      <c r="D13" s="79"/>
      <c r="E13" s="80"/>
      <c r="F13" s="4"/>
      <c r="I13" s="18">
        <f>SUM(I14:I19)</f>
        <v>0</v>
      </c>
      <c r="J13" s="91" t="s">
        <v>138</v>
      </c>
      <c r="K13" s="91"/>
      <c r="L13" s="25">
        <f>(L12*100)/30</f>
        <v>8.9266666666666676</v>
      </c>
      <c r="N13" s="50">
        <v>11</v>
      </c>
      <c r="O13" s="99" t="s">
        <v>117</v>
      </c>
      <c r="P13" s="99"/>
      <c r="Q13" s="99"/>
      <c r="R13" s="100"/>
    </row>
    <row r="14" spans="2:18" x14ac:dyDescent="0.25">
      <c r="B14" s="101" t="s">
        <v>93</v>
      </c>
      <c r="C14" s="102"/>
      <c r="D14" s="102"/>
      <c r="E14" s="19" t="str">
        <f>D26</f>
        <v>conforme</v>
      </c>
      <c r="F14" s="4"/>
      <c r="I14" s="18">
        <f>IF(E14="conforme",0,1)</f>
        <v>0</v>
      </c>
      <c r="N14" s="50">
        <v>12</v>
      </c>
      <c r="O14" s="99" t="s">
        <v>118</v>
      </c>
      <c r="P14" s="99"/>
      <c r="Q14" s="99"/>
      <c r="R14" s="100"/>
    </row>
    <row r="15" spans="2:18" ht="29.25" customHeight="1" x14ac:dyDescent="0.25">
      <c r="B15" s="76" t="s">
        <v>89</v>
      </c>
      <c r="C15" s="77"/>
      <c r="D15" s="77"/>
      <c r="E15" s="24" t="str">
        <f>G27</f>
        <v>conforme</v>
      </c>
      <c r="F15" s="4"/>
      <c r="I15" s="18">
        <f t="shared" ref="I15:I19" si="1">IF(E15="conforme",0,1)</f>
        <v>0</v>
      </c>
      <c r="N15" s="50">
        <v>13</v>
      </c>
      <c r="O15" s="99" t="s">
        <v>119</v>
      </c>
      <c r="P15" s="99"/>
      <c r="Q15" s="99"/>
      <c r="R15" s="100"/>
    </row>
    <row r="16" spans="2:18" x14ac:dyDescent="0.25">
      <c r="B16" s="76" t="s">
        <v>90</v>
      </c>
      <c r="C16" s="77"/>
      <c r="D16" s="77"/>
      <c r="E16" s="10" t="str">
        <f>H28</f>
        <v>conforme</v>
      </c>
      <c r="F16" s="4"/>
      <c r="I16" s="18">
        <f t="shared" si="1"/>
        <v>0</v>
      </c>
      <c r="J16" s="91" t="s">
        <v>103</v>
      </c>
      <c r="K16" s="91"/>
      <c r="L16" s="27">
        <f>(E5+E6+E7+E8)/100</f>
        <v>0.8731366952109102</v>
      </c>
      <c r="N16" s="50">
        <v>14</v>
      </c>
      <c r="O16" s="99" t="s">
        <v>120</v>
      </c>
      <c r="P16" s="99"/>
      <c r="Q16" s="99"/>
      <c r="R16" s="100"/>
    </row>
    <row r="17" spans="2:18" ht="15.75" thickBot="1" x14ac:dyDescent="0.3">
      <c r="B17" s="68" t="s">
        <v>83</v>
      </c>
      <c r="C17" s="69"/>
      <c r="D17" s="69"/>
      <c r="E17" s="10" t="str">
        <f>F29</f>
        <v>conforme</v>
      </c>
      <c r="F17" s="4"/>
      <c r="I17" s="18">
        <f>IF(E17="conforme",0,1)</f>
        <v>0</v>
      </c>
      <c r="J17" s="91" t="s">
        <v>104</v>
      </c>
      <c r="K17" s="91"/>
      <c r="L17" s="26">
        <f>(E9)/100</f>
        <v>0.12686330478908978</v>
      </c>
      <c r="N17" s="51">
        <v>15</v>
      </c>
      <c r="O17" s="95" t="s">
        <v>121</v>
      </c>
      <c r="P17" s="95"/>
      <c r="Q17" s="95"/>
      <c r="R17" s="96"/>
    </row>
    <row r="18" spans="2:18" x14ac:dyDescent="0.25">
      <c r="B18" s="68" t="s">
        <v>91</v>
      </c>
      <c r="C18" s="69"/>
      <c r="D18" s="69"/>
      <c r="E18" s="10" t="str">
        <f>E30</f>
        <v>conforme</v>
      </c>
      <c r="F18" s="4"/>
      <c r="I18" s="18">
        <f t="shared" si="1"/>
        <v>0</v>
      </c>
    </row>
    <row r="19" spans="2:18" ht="15.75" thickBot="1" x14ac:dyDescent="0.3">
      <c r="B19" s="70" t="s">
        <v>92</v>
      </c>
      <c r="C19" s="71"/>
      <c r="D19" s="71"/>
      <c r="E19" s="11" t="str">
        <f>E31</f>
        <v>conforme</v>
      </c>
      <c r="F19" s="4"/>
      <c r="I19" s="18">
        <f t="shared" si="1"/>
        <v>0</v>
      </c>
    </row>
    <row r="20" spans="2:18" x14ac:dyDescent="0.25">
      <c r="F20" s="4"/>
    </row>
    <row r="21" spans="2:18" x14ac:dyDescent="0.25">
      <c r="B21" t="s">
        <v>78</v>
      </c>
      <c r="E21" s="4"/>
      <c r="F21" s="4"/>
      <c r="I21" s="18"/>
    </row>
    <row r="22" spans="2:18" x14ac:dyDescent="0.25">
      <c r="B22" t="s">
        <v>80</v>
      </c>
      <c r="E22" s="4"/>
      <c r="F22" s="4"/>
    </row>
    <row r="23" spans="2:18" x14ac:dyDescent="0.25">
      <c r="B23" t="s">
        <v>79</v>
      </c>
      <c r="E23" s="4"/>
      <c r="F23" s="4"/>
    </row>
    <row r="24" spans="2:18" x14ac:dyDescent="0.25">
      <c r="B24" t="str">
        <f>"* Potentiel calculé sur la base de la règle la plus limitante ("&amp;J12&amp;"), sans préjuger de l'encépagement restant sur l'exploitation."</f>
        <v>* Potentiel calculé sur la base de la règle la plus limitante (Surface Sy/Mrvd : ), sans préjuger de l'encépagement restant sur l'exploitation.</v>
      </c>
      <c r="F24" s="4"/>
    </row>
    <row r="25" spans="2:18" hidden="1" x14ac:dyDescent="0.25">
      <c r="F25" s="4"/>
    </row>
    <row r="26" spans="2:18" hidden="1" x14ac:dyDescent="0.25">
      <c r="B26" t="s">
        <v>16</v>
      </c>
      <c r="D26" t="str">
        <f>IF(D11&gt;=2,"conforme","anomalie" )</f>
        <v>conforme</v>
      </c>
    </row>
    <row r="27" spans="2:18" ht="75" hidden="1" x14ac:dyDescent="0.25">
      <c r="B27" s="1" t="s">
        <v>58</v>
      </c>
      <c r="G27" t="str">
        <f>IF(G10&gt;=80,"conforme","anomalie")</f>
        <v>conforme</v>
      </c>
    </row>
    <row r="28" spans="2:18" ht="45" hidden="1" x14ac:dyDescent="0.25">
      <c r="B28" s="1" t="s">
        <v>68</v>
      </c>
      <c r="H28" t="str">
        <f>IF(H10&lt;=20,"conforme","anomalie" )</f>
        <v>conforme</v>
      </c>
    </row>
    <row r="29" spans="2:18" hidden="1" x14ac:dyDescent="0.25">
      <c r="B29" t="s">
        <v>15</v>
      </c>
      <c r="F29" t="str">
        <f>IF(F11&lt;=70,"conforme","anomalie")</f>
        <v>conforme</v>
      </c>
    </row>
    <row r="30" spans="2:18" hidden="1" x14ac:dyDescent="0.25">
      <c r="B30" t="s">
        <v>27</v>
      </c>
      <c r="E30" t="str">
        <f>IF(E5&lt;=60,"conforme","anomalie" )</f>
        <v>conforme</v>
      </c>
    </row>
    <row r="31" spans="2:18" hidden="1" x14ac:dyDescent="0.25">
      <c r="B31" t="s">
        <v>28</v>
      </c>
      <c r="E31" t="str">
        <f>IF(E7+E8&gt;=30,"conforme","anomalie" )</f>
        <v>conforme</v>
      </c>
    </row>
    <row r="36" spans="2:2" x14ac:dyDescent="0.25">
      <c r="B36" s="2"/>
    </row>
    <row r="37" spans="2:2" x14ac:dyDescent="0.25">
      <c r="B37" s="2"/>
    </row>
  </sheetData>
  <sheetProtection algorithmName="SHA-512" hashValue="c9nIf9TolJhfbpfdqIYjI0x+BwGysD/8u1aL0EPi+6KHauZYD5DVk9LaEbgxOQY8VxI6cxLJbp8MRvBflzLmiQ==" saltValue="KB95QdjhCGi7RVkqKPQ5Ww==" spinCount="100000" sheet="1" objects="1" scenarios="1"/>
  <mergeCells count="31">
    <mergeCell ref="O15:R15"/>
    <mergeCell ref="O16:R16"/>
    <mergeCell ref="O17:R17"/>
    <mergeCell ref="O10:R10"/>
    <mergeCell ref="O11:R11"/>
    <mergeCell ref="O12:R12"/>
    <mergeCell ref="O13:R13"/>
    <mergeCell ref="O14:R14"/>
    <mergeCell ref="O5:R5"/>
    <mergeCell ref="O6:R6"/>
    <mergeCell ref="O7:R7"/>
    <mergeCell ref="O8:R8"/>
    <mergeCell ref="O9:R9"/>
    <mergeCell ref="J3:K3"/>
    <mergeCell ref="B2:E3"/>
    <mergeCell ref="N2:R2"/>
    <mergeCell ref="O3:R3"/>
    <mergeCell ref="O4:R4"/>
    <mergeCell ref="B19:D19"/>
    <mergeCell ref="B10:C10"/>
    <mergeCell ref="J5:K9"/>
    <mergeCell ref="B13:E13"/>
    <mergeCell ref="B14:D14"/>
    <mergeCell ref="B15:D15"/>
    <mergeCell ref="B16:D16"/>
    <mergeCell ref="B17:D17"/>
    <mergeCell ref="B18:D18"/>
    <mergeCell ref="J12:K12"/>
    <mergeCell ref="J13:K13"/>
    <mergeCell ref="J16:K16"/>
    <mergeCell ref="J17:K17"/>
  </mergeCells>
  <conditionalFormatting sqref="D26">
    <cfRule type="containsText" dxfId="226" priority="25" operator="containsText" text="OK">
      <formula>NOT(ISERROR(SEARCH("OK",D26)))</formula>
    </cfRule>
    <cfRule type="containsText" dxfId="225" priority="26" operator="containsText" text="Non conforme">
      <formula>NOT(ISERROR(SEARCH("Non conforme",D26)))</formula>
    </cfRule>
  </conditionalFormatting>
  <conditionalFormatting sqref="G27:G29">
    <cfRule type="containsText" dxfId="224" priority="23" operator="containsText" text="OK">
      <formula>NOT(ISERROR(SEARCH("OK",G27)))</formula>
    </cfRule>
    <cfRule type="containsText" dxfId="223" priority="24" operator="containsText" text="Non conforme">
      <formula>NOT(ISERROR(SEARCH("Non conforme",G27)))</formula>
    </cfRule>
  </conditionalFormatting>
  <conditionalFormatting sqref="E30:F31">
    <cfRule type="containsText" dxfId="222" priority="21" operator="containsText" text="OK">
      <formula>NOT(ISERROR(SEARCH("OK",E30)))</formula>
    </cfRule>
    <cfRule type="containsText" dxfId="221" priority="22" operator="containsText" text="Non conforme">
      <formula>NOT(ISERROR(SEARCH("Non conforme",E30)))</formula>
    </cfRule>
  </conditionalFormatting>
  <conditionalFormatting sqref="F29">
    <cfRule type="containsText" dxfId="220" priority="19" operator="containsText" text="OK">
      <formula>NOT(ISERROR(SEARCH("OK",F29)))</formula>
    </cfRule>
    <cfRule type="containsText" dxfId="219" priority="20" operator="containsText" text="Non conforme">
      <formula>NOT(ISERROR(SEARCH("Non conforme",F29)))</formula>
    </cfRule>
  </conditionalFormatting>
  <conditionalFormatting sqref="H28">
    <cfRule type="containsText" dxfId="218" priority="17" operator="containsText" text="OK">
      <formula>NOT(ISERROR(SEARCH("OK",H28)))</formula>
    </cfRule>
    <cfRule type="containsText" dxfId="217" priority="18" operator="containsText" text="Non conforme">
      <formula>NOT(ISERROR(SEARCH("Non conforme",H28)))</formula>
    </cfRule>
  </conditionalFormatting>
  <conditionalFormatting sqref="D26:H31">
    <cfRule type="containsText" dxfId="216" priority="15" operator="containsText" text="anomalie">
      <formula>NOT(ISERROR(SEARCH("anomalie",D26)))</formula>
    </cfRule>
    <cfRule type="containsText" dxfId="215" priority="16" operator="containsText" text="conforme">
      <formula>NOT(ISERROR(SEARCH("conforme",D26)))</formula>
    </cfRule>
  </conditionalFormatting>
  <conditionalFormatting sqref="E14:E17">
    <cfRule type="containsText" dxfId="214" priority="11" operator="containsText" text="anomalie">
      <formula>NOT(ISERROR(SEARCH("anomalie",E14)))</formula>
    </cfRule>
    <cfRule type="containsText" dxfId="213" priority="12" operator="containsText" text="conforme">
      <formula>NOT(ISERROR(SEARCH("conforme",E14)))</formula>
    </cfRule>
    <cfRule type="containsText" dxfId="212" priority="13" operator="containsText" text="OK">
      <formula>NOT(ISERROR(SEARCH("OK",E14)))</formula>
    </cfRule>
    <cfRule type="containsText" dxfId="211" priority="14" operator="containsText" text="Non conforme">
      <formula>NOT(ISERROR(SEARCH("Non conforme",E14)))</formula>
    </cfRule>
  </conditionalFormatting>
  <conditionalFormatting sqref="E19">
    <cfRule type="containsText" dxfId="210" priority="7" operator="containsText" text="anomalie">
      <formula>NOT(ISERROR(SEARCH("anomalie",E19)))</formula>
    </cfRule>
    <cfRule type="containsText" dxfId="209" priority="8" operator="containsText" text="conforme">
      <formula>NOT(ISERROR(SEARCH("conforme",E19)))</formula>
    </cfRule>
    <cfRule type="containsText" dxfId="208" priority="9" operator="containsText" text="OK">
      <formula>NOT(ISERROR(SEARCH("OK",E19)))</formula>
    </cfRule>
    <cfRule type="containsText" dxfId="207" priority="10" operator="containsText" text="Non conforme">
      <formula>NOT(ISERROR(SEARCH("Non conforme",E19)))</formula>
    </cfRule>
  </conditionalFormatting>
  <conditionalFormatting sqref="E18">
    <cfRule type="containsText" dxfId="206" priority="3" operator="containsText" text="anomalie">
      <formula>NOT(ISERROR(SEARCH("anomalie",E18)))</formula>
    </cfRule>
    <cfRule type="containsText" dxfId="205" priority="4" operator="containsText" text="conforme">
      <formula>NOT(ISERROR(SEARCH("conforme",E18)))</formula>
    </cfRule>
    <cfRule type="containsText" dxfId="204" priority="5" operator="containsText" text="OK">
      <formula>NOT(ISERROR(SEARCH("OK",E18)))</formula>
    </cfRule>
    <cfRule type="containsText" dxfId="203" priority="6" operator="containsText" text="Non conforme">
      <formula>NOT(ISERROR(SEARCH("Non conforme",E18)))</formula>
    </cfRule>
  </conditionalFormatting>
  <conditionalFormatting sqref="J5:K9">
    <cfRule type="expression" dxfId="202" priority="1">
      <formula>$I$13&gt;0</formula>
    </cfRule>
    <cfRule type="expression" dxfId="201" priority="2">
      <formula>$I$13=0</formula>
    </cfRule>
  </conditionalFormatting>
  <hyperlinks>
    <hyperlink ref="J3" location="'Outil contrôle encépagement'!A1" display="Retour à l'accueil" xr:uid="{9F167B8F-9F85-4998-B0D9-1036CFB6105F}"/>
    <hyperlink ref="O3" location="'CR Rouge'!A1" display="Côtes du Roussillon Rouge" xr:uid="{682016C5-C1E6-40A6-8351-195B66D46A36}"/>
    <hyperlink ref="O4" location="'CR Rosé'!A1" display="Côtes du Roussillon Rosé" xr:uid="{29AD9D4C-C713-4EDC-8158-5B12E88A5C4C}"/>
    <hyperlink ref="O5" location="'CR Blanc'!A1" display="Côtes du Roussillon Blanc" xr:uid="{421959F4-595C-4CE1-BFBC-78208B5FDA12}"/>
    <hyperlink ref="O6:R6" location="'CR Villages'!A1" display="Côtes du Roussillon Villages" xr:uid="{F808C380-CA77-41CA-B37B-D8758BF365B4}"/>
    <hyperlink ref="O7:R7" location="'CR Villages Les Aspres'!A1" display="Côtes du Roussillon Villages Les Aspres" xr:uid="{B2271830-A19F-4B8E-B0DC-E2EA4E109164}"/>
    <hyperlink ref="O8:R8" location="'CRV LATOUR DE FRANCE'!A1" display="Côtes du Roussillon Villages Latour de France" xr:uid="{DE80E2DA-020B-47CD-BB46-679F249312B5}"/>
    <hyperlink ref="O9:R9" location="'CRV CARAMANY'!A1" display="Côtes du Roussillon Villages Caramany" xr:uid="{65C536B6-10E0-480C-AC14-918832A2A2E2}"/>
    <hyperlink ref="O10:R10" location="'CRV LESQUERDE'!A1" display="Côtes du Roussillon Villages Lesquerde" xr:uid="{BC6FA6FA-1F45-403C-9635-5544F0FE7990}"/>
    <hyperlink ref="O11:R11" location="'CRV TAUTAVEL'!A1" display="Côtes du Roussillon Villages Tautavel" xr:uid="{10D97495-64D5-4F51-98C7-0D53FC3F77A6}"/>
    <hyperlink ref="O12:R12" location="'MAURY SEC'!A1" display="Maury Sec" xr:uid="{33C03EE7-E859-4DA7-8401-D46352772FB5}"/>
    <hyperlink ref="O13:R13" location="'MAURY Grenat ou Tuilé'!A1" display="Maury Grenat ou tuilé" xr:uid="{8DD5CB5F-03FC-4026-8264-D8A1D22E5856}"/>
    <hyperlink ref="O14:R14" location="'MAURY Ambré ou Blanc'!A1" display="Maury Ambré ou Blanc" xr:uid="{97B97D26-9E15-47C4-A0D9-07C7DA098FE6}"/>
    <hyperlink ref="O15:R15" location="'Muscat de Riv.'!A1" display="Muscat de Rivesaltes" xr:uid="{4339DE09-83EF-4A50-B698-A0EA49DA7C7D}"/>
    <hyperlink ref="O16:R16" location="'Rivesaltes Ambré, Rosé ou Tuilé'!A1" display="Rivesaltes Ambé, Rosé ou Tuilé" xr:uid="{410157CC-B917-455A-880D-79D6EB9C922F}"/>
    <hyperlink ref="O17:R17" location="'Rivesaltes Grenat'!A1" display="Rivesaltes Grenat" xr:uid="{A4397723-FFF5-4B33-A76B-50F1A787E936}"/>
  </hyperlinks>
  <pageMargins left="0.7" right="0.7" top="0.75" bottom="0.75" header="0.3" footer="0.3"/>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34"/>
  <sheetViews>
    <sheetView showGridLines="0" showRowColHeaders="0" zoomScale="115" zoomScaleNormal="115" workbookViewId="0">
      <selection activeCell="J3" sqref="J3:K3"/>
    </sheetView>
  </sheetViews>
  <sheetFormatPr baseColWidth="10" defaultRowHeight="15" x14ac:dyDescent="0.25"/>
  <cols>
    <col min="2" max="2" width="18.85546875" customWidth="1"/>
    <col min="3" max="3" width="13.5703125" customWidth="1"/>
    <col min="6" max="8" width="0" hidden="1" customWidth="1"/>
    <col min="9" max="9" width="5.42578125"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134</v>
      </c>
      <c r="C2" s="74"/>
      <c r="D2" s="74"/>
      <c r="E2" s="74"/>
      <c r="N2" s="92" t="s">
        <v>170</v>
      </c>
      <c r="O2" s="93"/>
      <c r="P2" s="93"/>
      <c r="Q2" s="93"/>
      <c r="R2" s="94"/>
    </row>
    <row r="3" spans="2:18" ht="23.25" customHeight="1" x14ac:dyDescent="0.25">
      <c r="B3" s="75"/>
      <c r="C3" s="75"/>
      <c r="D3" s="75"/>
      <c r="E3" s="75"/>
      <c r="H3" s="1"/>
      <c r="J3" s="72" t="s">
        <v>122</v>
      </c>
      <c r="K3" s="73"/>
      <c r="N3" s="50">
        <v>1</v>
      </c>
      <c r="O3" s="97" t="s">
        <v>107</v>
      </c>
      <c r="P3" s="97"/>
      <c r="Q3" s="97"/>
      <c r="R3" s="98"/>
    </row>
    <row r="4" spans="2:18" ht="34.5" customHeight="1" thickBot="1" x14ac:dyDescent="0.3">
      <c r="B4" s="15" t="s">
        <v>7</v>
      </c>
      <c r="C4" s="16" t="s">
        <v>141</v>
      </c>
      <c r="D4" s="15" t="s">
        <v>8</v>
      </c>
      <c r="E4" s="15" t="s">
        <v>9</v>
      </c>
      <c r="F4" t="s">
        <v>41</v>
      </c>
      <c r="G4" s="1" t="s">
        <v>13</v>
      </c>
      <c r="H4" s="1" t="s">
        <v>50</v>
      </c>
      <c r="N4" s="50">
        <v>2</v>
      </c>
      <c r="O4" s="97" t="s">
        <v>109</v>
      </c>
      <c r="P4" s="97"/>
      <c r="Q4" s="97"/>
      <c r="R4" s="98"/>
    </row>
    <row r="5" spans="2:18" x14ac:dyDescent="0.25">
      <c r="B5" s="36" t="s">
        <v>0</v>
      </c>
      <c r="C5" s="5" t="s">
        <v>22</v>
      </c>
      <c r="D5" s="14">
        <v>1</v>
      </c>
      <c r="E5" s="8">
        <f>D5*100/D9</f>
        <v>40</v>
      </c>
      <c r="F5">
        <f>ROUND(E5,2)</f>
        <v>40</v>
      </c>
      <c r="G5">
        <f>IF(C5="P",F5,0)</f>
        <v>0</v>
      </c>
      <c r="H5">
        <f>IF(C5="C",E5,0)</f>
        <v>40</v>
      </c>
      <c r="J5" s="83" t="str">
        <f>IF(I14=0,"Encépagement conforme aux règles du Cahier des Charges","Encépagement NON conforme aux règles du Cahier des Charges")</f>
        <v>Encépagement NON conforme aux règles du Cahier des Charges</v>
      </c>
      <c r="K5" s="84"/>
      <c r="N5" s="50">
        <v>3</v>
      </c>
      <c r="O5" s="97" t="s">
        <v>110</v>
      </c>
      <c r="P5" s="97"/>
      <c r="Q5" s="97"/>
      <c r="R5" s="98"/>
    </row>
    <row r="6" spans="2:18" x14ac:dyDescent="0.25">
      <c r="B6" s="36" t="s">
        <v>1</v>
      </c>
      <c r="C6" s="5" t="s">
        <v>11</v>
      </c>
      <c r="D6" s="14">
        <v>0.15</v>
      </c>
      <c r="E6" s="8">
        <f>D6*100/D9</f>
        <v>6</v>
      </c>
      <c r="F6">
        <f>ROUND(E6,2)</f>
        <v>6</v>
      </c>
      <c r="G6">
        <f>IF(C6="P",F6,0)</f>
        <v>6</v>
      </c>
      <c r="H6">
        <f t="shared" ref="H6:H8" si="0">IF(C6="C",E6,0)</f>
        <v>0</v>
      </c>
      <c r="J6" s="85"/>
      <c r="K6" s="86"/>
      <c r="N6" s="50">
        <v>4</v>
      </c>
      <c r="O6" s="99" t="s">
        <v>108</v>
      </c>
      <c r="P6" s="99"/>
      <c r="Q6" s="99"/>
      <c r="R6" s="100"/>
    </row>
    <row r="7" spans="2:18" x14ac:dyDescent="0.25">
      <c r="B7" s="36" t="s">
        <v>2</v>
      </c>
      <c r="C7" s="5" t="s">
        <v>11</v>
      </c>
      <c r="D7" s="14">
        <v>0.75</v>
      </c>
      <c r="E7" s="8">
        <f>D7*100/D9</f>
        <v>30</v>
      </c>
      <c r="F7">
        <f t="shared" ref="F7:F8" si="1">ROUND(E7,2)</f>
        <v>30</v>
      </c>
      <c r="G7">
        <f>IF(C7="P",F7,0)</f>
        <v>30</v>
      </c>
      <c r="H7">
        <f t="shared" si="0"/>
        <v>0</v>
      </c>
      <c r="J7" s="85"/>
      <c r="K7" s="86"/>
      <c r="N7" s="50">
        <v>5</v>
      </c>
      <c r="O7" s="99" t="s">
        <v>111</v>
      </c>
      <c r="P7" s="99"/>
      <c r="Q7" s="99"/>
      <c r="R7" s="100"/>
    </row>
    <row r="8" spans="2:18" x14ac:dyDescent="0.25">
      <c r="B8" s="36" t="s">
        <v>3</v>
      </c>
      <c r="C8" s="5" t="s">
        <v>11</v>
      </c>
      <c r="D8" s="14">
        <v>0.6</v>
      </c>
      <c r="E8" s="8">
        <f>D8*100/D9</f>
        <v>24</v>
      </c>
      <c r="F8">
        <f t="shared" si="1"/>
        <v>24</v>
      </c>
      <c r="G8">
        <f>IF(C8="P",F8,0)</f>
        <v>24</v>
      </c>
      <c r="H8">
        <f t="shared" si="0"/>
        <v>0</v>
      </c>
      <c r="J8" s="85"/>
      <c r="K8" s="86"/>
      <c r="N8" s="50">
        <v>6</v>
      </c>
      <c r="O8" s="99" t="s">
        <v>112</v>
      </c>
      <c r="P8" s="99"/>
      <c r="Q8" s="99"/>
      <c r="R8" s="100"/>
    </row>
    <row r="9" spans="2:18" ht="15.75" thickBot="1" x14ac:dyDescent="0.3">
      <c r="B9" s="81" t="s">
        <v>10</v>
      </c>
      <c r="C9" s="82"/>
      <c r="D9" s="12">
        <f>SUM(D5:D8)</f>
        <v>2.5</v>
      </c>
      <c r="E9" s="20">
        <f>SUM(E5:E8)</f>
        <v>100</v>
      </c>
      <c r="F9">
        <f>SUM(F5:F8)</f>
        <v>100</v>
      </c>
      <c r="G9">
        <f>SUM(G5:G8)</f>
        <v>60</v>
      </c>
      <c r="H9">
        <f>SUM(H5:H8)</f>
        <v>40</v>
      </c>
      <c r="J9" s="87"/>
      <c r="K9" s="88"/>
      <c r="N9" s="50">
        <v>7</v>
      </c>
      <c r="O9" s="99" t="s">
        <v>113</v>
      </c>
      <c r="P9" s="99"/>
      <c r="Q9" s="99"/>
      <c r="R9" s="100"/>
    </row>
    <row r="10" spans="2:18" x14ac:dyDescent="0.25">
      <c r="D10" s="38">
        <f>COUNT(D5:D8)</f>
        <v>4</v>
      </c>
      <c r="G10">
        <f>LARGE(G5:G8,1)</f>
        <v>30</v>
      </c>
      <c r="N10" s="50">
        <v>8</v>
      </c>
      <c r="O10" s="99" t="s">
        <v>114</v>
      </c>
      <c r="P10" s="99"/>
      <c r="Q10" s="99"/>
      <c r="R10" s="100"/>
    </row>
    <row r="11" spans="2:18" x14ac:dyDescent="0.25">
      <c r="G11">
        <f>LARGE(G5:G8,2)</f>
        <v>24</v>
      </c>
      <c r="N11" s="50">
        <v>9</v>
      </c>
      <c r="O11" s="99" t="s">
        <v>115</v>
      </c>
      <c r="P11" s="99"/>
      <c r="Q11" s="99"/>
      <c r="R11" s="100"/>
    </row>
    <row r="12" spans="2:18" x14ac:dyDescent="0.25">
      <c r="G12">
        <f>SUM(G10:G11)</f>
        <v>54</v>
      </c>
      <c r="N12" s="50">
        <v>10</v>
      </c>
      <c r="O12" s="99" t="s">
        <v>116</v>
      </c>
      <c r="P12" s="99"/>
      <c r="Q12" s="99"/>
      <c r="R12" s="100"/>
    </row>
    <row r="13" spans="2:18" ht="15.75" thickBot="1" x14ac:dyDescent="0.3">
      <c r="N13" s="50">
        <v>11</v>
      </c>
      <c r="O13" s="99" t="s">
        <v>117</v>
      </c>
      <c r="P13" s="99"/>
      <c r="Q13" s="99"/>
      <c r="R13" s="100"/>
    </row>
    <row r="14" spans="2:18" ht="16.5" thickBot="1" x14ac:dyDescent="0.3">
      <c r="B14" s="78" t="s">
        <v>71</v>
      </c>
      <c r="C14" s="79"/>
      <c r="D14" s="79"/>
      <c r="E14" s="80"/>
      <c r="I14" s="18">
        <f>SUM(I15:I21)</f>
        <v>1</v>
      </c>
      <c r="J14" s="91" t="s">
        <v>102</v>
      </c>
      <c r="K14" s="91"/>
      <c r="L14" s="25">
        <f>D7+D8</f>
        <v>1.35</v>
      </c>
      <c r="N14" s="50">
        <v>12</v>
      </c>
      <c r="O14" s="99" t="s">
        <v>118</v>
      </c>
      <c r="P14" s="99"/>
      <c r="Q14" s="99"/>
      <c r="R14" s="100"/>
    </row>
    <row r="15" spans="2:18" x14ac:dyDescent="0.25">
      <c r="B15" s="101" t="s">
        <v>94</v>
      </c>
      <c r="C15" s="102"/>
      <c r="D15" s="102"/>
      <c r="E15" s="19" t="str">
        <f>D27</f>
        <v>conforme</v>
      </c>
      <c r="I15" s="18">
        <f>IF(E15="conforme",0,1)</f>
        <v>0</v>
      </c>
      <c r="J15" s="91" t="s">
        <v>138</v>
      </c>
      <c r="K15" s="91"/>
      <c r="L15" s="25">
        <f>(L14*100)/25</f>
        <v>5.4</v>
      </c>
      <c r="N15" s="50">
        <v>13</v>
      </c>
      <c r="O15" s="99" t="s">
        <v>119</v>
      </c>
      <c r="P15" s="99"/>
      <c r="Q15" s="99"/>
      <c r="R15" s="100"/>
    </row>
    <row r="16" spans="2:18" ht="30.75" customHeight="1" x14ac:dyDescent="0.25">
      <c r="B16" s="76" t="s">
        <v>95</v>
      </c>
      <c r="C16" s="77"/>
      <c r="D16" s="77"/>
      <c r="E16" s="24" t="str">
        <f>G28</f>
        <v>conforme</v>
      </c>
      <c r="I16" s="18">
        <f t="shared" ref="I16:I21" si="2">IF(E16="conforme",0,1)</f>
        <v>0</v>
      </c>
      <c r="N16" s="50">
        <v>14</v>
      </c>
      <c r="O16" s="99" t="s">
        <v>120</v>
      </c>
      <c r="P16" s="99"/>
      <c r="Q16" s="99"/>
      <c r="R16" s="100"/>
    </row>
    <row r="17" spans="2:18" ht="15.75" thickBot="1" x14ac:dyDescent="0.3">
      <c r="B17" s="76" t="s">
        <v>96</v>
      </c>
      <c r="C17" s="77"/>
      <c r="D17" s="77"/>
      <c r="E17" s="10" t="str">
        <f>E29</f>
        <v>anomalie</v>
      </c>
      <c r="I17" s="18">
        <f t="shared" si="2"/>
        <v>1</v>
      </c>
      <c r="J17" s="91" t="s">
        <v>103</v>
      </c>
      <c r="K17" s="91"/>
      <c r="L17" s="27">
        <f>(E6+E7+E8)/100</f>
        <v>0.6</v>
      </c>
      <c r="N17" s="51">
        <v>15</v>
      </c>
      <c r="O17" s="95" t="s">
        <v>121</v>
      </c>
      <c r="P17" s="95"/>
      <c r="Q17" s="95"/>
      <c r="R17" s="96"/>
    </row>
    <row r="18" spans="2:18" x14ac:dyDescent="0.25">
      <c r="B18" s="68" t="s">
        <v>97</v>
      </c>
      <c r="C18" s="69"/>
      <c r="D18" s="69"/>
      <c r="E18" s="10" t="str">
        <f>E30</f>
        <v>conforme</v>
      </c>
      <c r="I18" s="18">
        <f t="shared" si="2"/>
        <v>0</v>
      </c>
      <c r="J18" s="91" t="s">
        <v>105</v>
      </c>
      <c r="K18" s="91"/>
      <c r="L18" s="26">
        <f>(E5)/100</f>
        <v>0.4</v>
      </c>
    </row>
    <row r="19" spans="2:18" x14ac:dyDescent="0.25">
      <c r="B19" s="68" t="s">
        <v>98</v>
      </c>
      <c r="C19" s="69"/>
      <c r="D19" s="69"/>
      <c r="E19" s="10" t="str">
        <f>E31</f>
        <v>conforme</v>
      </c>
      <c r="I19" s="18">
        <f t="shared" si="2"/>
        <v>0</v>
      </c>
    </row>
    <row r="20" spans="2:18" x14ac:dyDescent="0.25">
      <c r="B20" s="68" t="s">
        <v>99</v>
      </c>
      <c r="C20" s="69"/>
      <c r="D20" s="69"/>
      <c r="E20" s="10" t="str">
        <f>E32</f>
        <v>conforme</v>
      </c>
      <c r="I20" s="18">
        <f t="shared" si="2"/>
        <v>0</v>
      </c>
    </row>
    <row r="21" spans="2:18" ht="15.75" thickBot="1" x14ac:dyDescent="0.3">
      <c r="B21" s="70" t="s">
        <v>34</v>
      </c>
      <c r="C21" s="71"/>
      <c r="D21" s="71"/>
      <c r="E21" s="11" t="str">
        <f>E33</f>
        <v>conforme</v>
      </c>
      <c r="I21" s="18">
        <f t="shared" si="2"/>
        <v>0</v>
      </c>
    </row>
    <row r="23" spans="2:18" x14ac:dyDescent="0.25">
      <c r="B23" t="s">
        <v>78</v>
      </c>
      <c r="E23" s="4"/>
      <c r="F23" s="4"/>
      <c r="I23" s="18"/>
    </row>
    <row r="24" spans="2:18" x14ac:dyDescent="0.25">
      <c r="B24" t="s">
        <v>80</v>
      </c>
      <c r="E24" s="4"/>
      <c r="F24" s="4"/>
    </row>
    <row r="25" spans="2:18" x14ac:dyDescent="0.25">
      <c r="B25" t="s">
        <v>79</v>
      </c>
      <c r="E25" s="4"/>
      <c r="F25" s="4"/>
    </row>
    <row r="26" spans="2:18" x14ac:dyDescent="0.25">
      <c r="B26" t="str">
        <f>"* Potentiel calculé sur la base de la règle la plus limitante ("&amp;J14&amp;"), sans préjuger de l'encépagement restant sur l'exploitation."</f>
        <v>* Potentiel calculé sur la base de la règle la plus limitante (Surface Sy/Mrvd : ), sans préjuger de l'encépagement restant sur l'exploitation.</v>
      </c>
    </row>
    <row r="27" spans="2:18" hidden="1" x14ac:dyDescent="0.25">
      <c r="B27" t="s">
        <v>29</v>
      </c>
      <c r="D27" t="str">
        <f>IF(D10&gt;=3,"conforme","anomalie" )</f>
        <v>conforme</v>
      </c>
    </row>
    <row r="28" spans="2:18" ht="46.5" hidden="1" customHeight="1" x14ac:dyDescent="0.25">
      <c r="B28" s="1" t="s">
        <v>59</v>
      </c>
      <c r="G28" t="str">
        <f>IF(G12&lt;=90,"conforme","anomalie")</f>
        <v>conforme</v>
      </c>
    </row>
    <row r="29" spans="2:18" hidden="1" x14ac:dyDescent="0.25">
      <c r="B29" t="s">
        <v>30</v>
      </c>
      <c r="E29" t="str">
        <f>IF(E5&lt;=25,"conforme","anomalie" )</f>
        <v>anomalie</v>
      </c>
    </row>
    <row r="30" spans="2:18" hidden="1" x14ac:dyDescent="0.25">
      <c r="B30" t="s">
        <v>31</v>
      </c>
      <c r="E30" t="str">
        <f>IF(E7+E8&gt;=25,"conforme","anomalie" )</f>
        <v>conforme</v>
      </c>
    </row>
    <row r="31" spans="2:18" hidden="1" x14ac:dyDescent="0.25">
      <c r="B31" t="s">
        <v>32</v>
      </c>
      <c r="E31" t="str">
        <f>IF(E6&lt;=50,"conforme","anomalie" )</f>
        <v>conforme</v>
      </c>
    </row>
    <row r="32" spans="2:18" hidden="1" x14ac:dyDescent="0.25">
      <c r="B32" t="s">
        <v>33</v>
      </c>
      <c r="E32" t="str">
        <f>IF(E7&lt;=50,"conforme","anomalie" )</f>
        <v>conforme</v>
      </c>
    </row>
    <row r="33" spans="2:5" hidden="1" x14ac:dyDescent="0.25">
      <c r="B33" s="3" t="s">
        <v>34</v>
      </c>
      <c r="E33" t="str">
        <f>IF(E8&lt;=50,"conforme","anomalie")</f>
        <v>conforme</v>
      </c>
    </row>
    <row r="34" spans="2:5" hidden="1" x14ac:dyDescent="0.25"/>
  </sheetData>
  <sheetProtection algorithmName="SHA-512" hashValue="eCKQORIgU20WoRmuxib0iB5BrqzlHITRjFDAgzf74LKwPpkRuYInCfM2GQsOV7Klol0LaTkdOVD3TP560otn/g==" saltValue="nVEnREnl9dGAG7SH7gvcNA==" spinCount="100000" sheet="1" objects="1" scenarios="1"/>
  <mergeCells count="32">
    <mergeCell ref="O17:R17"/>
    <mergeCell ref="O12:R12"/>
    <mergeCell ref="O13:R13"/>
    <mergeCell ref="O14:R14"/>
    <mergeCell ref="O15:R15"/>
    <mergeCell ref="O16:R16"/>
    <mergeCell ref="O7:R7"/>
    <mergeCell ref="O8:R8"/>
    <mergeCell ref="O9:R9"/>
    <mergeCell ref="O10:R10"/>
    <mergeCell ref="O11:R11"/>
    <mergeCell ref="N2:R2"/>
    <mergeCell ref="O3:R3"/>
    <mergeCell ref="O4:R4"/>
    <mergeCell ref="O5:R5"/>
    <mergeCell ref="O6:R6"/>
    <mergeCell ref="J3:K3"/>
    <mergeCell ref="B2:E3"/>
    <mergeCell ref="B20:D20"/>
    <mergeCell ref="B21:D21"/>
    <mergeCell ref="B9:C9"/>
    <mergeCell ref="J5:K9"/>
    <mergeCell ref="B14:E14"/>
    <mergeCell ref="B15:D15"/>
    <mergeCell ref="B16:D16"/>
    <mergeCell ref="B17:D17"/>
    <mergeCell ref="B18:D18"/>
    <mergeCell ref="B19:D19"/>
    <mergeCell ref="J14:K14"/>
    <mergeCell ref="J15:K15"/>
    <mergeCell ref="J17:K17"/>
    <mergeCell ref="J18:K18"/>
  </mergeCells>
  <conditionalFormatting sqref="E33:F33">
    <cfRule type="containsText" dxfId="200" priority="44" operator="containsText" text="n">
      <formula>NOT(ISERROR(SEARCH("n",E33)))</formula>
    </cfRule>
    <cfRule type="containsText" dxfId="199" priority="45" operator="containsText" text="Non coforme">
      <formula>NOT(ISERROR(SEARCH("Non coforme",E33)))</formula>
    </cfRule>
  </conditionalFormatting>
  <conditionalFormatting sqref="E29:F33">
    <cfRule type="containsText" dxfId="198" priority="42" operator="containsText" text="OK">
      <formula>NOT(ISERROR(SEARCH("OK",E29)))</formula>
    </cfRule>
    <cfRule type="containsText" dxfId="197" priority="43" operator="containsText" text="Non conforme">
      <formula>NOT(ISERROR(SEARCH("Non conforme",E29)))</formula>
    </cfRule>
  </conditionalFormatting>
  <conditionalFormatting sqref="D27">
    <cfRule type="containsText" dxfId="196" priority="40" operator="containsText" text="OK">
      <formula>NOT(ISERROR(SEARCH("OK",D27)))</formula>
    </cfRule>
    <cfRule type="containsText" dxfId="195" priority="41" operator="containsText" text="Non coforme">
      <formula>NOT(ISERROR(SEARCH("Non coforme",D27)))</formula>
    </cfRule>
  </conditionalFormatting>
  <conditionalFormatting sqref="G28">
    <cfRule type="containsText" dxfId="194" priority="38" operator="containsText" text="OK">
      <formula>NOT(ISERROR(SEARCH("OK",G28)))</formula>
    </cfRule>
    <cfRule type="containsText" dxfId="193" priority="39" operator="containsText" text="Non conforme">
      <formula>NOT(ISERROR(SEARCH("Non conforme",G28)))</formula>
    </cfRule>
  </conditionalFormatting>
  <conditionalFormatting sqref="D27:H33">
    <cfRule type="containsText" dxfId="192" priority="35" operator="containsText" text="anomalie">
      <formula>NOT(ISERROR(SEARCH("anomalie",D27)))</formula>
    </cfRule>
    <cfRule type="containsText" dxfId="191" priority="36" operator="containsText" text="anomalie">
      <formula>NOT(ISERROR(SEARCH("anomalie",D27)))</formula>
    </cfRule>
    <cfRule type="containsText" dxfId="190" priority="37" operator="containsText" text="conforme">
      <formula>NOT(ISERROR(SEARCH("conforme",D27)))</formula>
    </cfRule>
  </conditionalFormatting>
  <conditionalFormatting sqref="E15:E18">
    <cfRule type="containsText" dxfId="189" priority="19" operator="containsText" text="anomalie">
      <formula>NOT(ISERROR(SEARCH("anomalie",E15)))</formula>
    </cfRule>
    <cfRule type="containsText" dxfId="188" priority="20" operator="containsText" text="conforme">
      <formula>NOT(ISERROR(SEARCH("conforme",E15)))</formula>
    </cfRule>
    <cfRule type="containsText" dxfId="187" priority="21" operator="containsText" text="OK">
      <formula>NOT(ISERROR(SEARCH("OK",E15)))</formula>
    </cfRule>
    <cfRule type="containsText" dxfId="186" priority="22" operator="containsText" text="Non conforme">
      <formula>NOT(ISERROR(SEARCH("Non conforme",E15)))</formula>
    </cfRule>
  </conditionalFormatting>
  <conditionalFormatting sqref="E19">
    <cfRule type="containsText" dxfId="185" priority="11" operator="containsText" text="anomalie">
      <formula>NOT(ISERROR(SEARCH("anomalie",E19)))</formula>
    </cfRule>
    <cfRule type="containsText" dxfId="184" priority="12" operator="containsText" text="conforme">
      <formula>NOT(ISERROR(SEARCH("conforme",E19)))</formula>
    </cfRule>
    <cfRule type="containsText" dxfId="183" priority="13" operator="containsText" text="OK">
      <formula>NOT(ISERROR(SEARCH("OK",E19)))</formula>
    </cfRule>
    <cfRule type="containsText" dxfId="182" priority="14" operator="containsText" text="Non conforme">
      <formula>NOT(ISERROR(SEARCH("Non conforme",E19)))</formula>
    </cfRule>
  </conditionalFormatting>
  <conditionalFormatting sqref="E21">
    <cfRule type="containsText" dxfId="181" priority="7" operator="containsText" text="anomalie">
      <formula>NOT(ISERROR(SEARCH("anomalie",E21)))</formula>
    </cfRule>
    <cfRule type="containsText" dxfId="180" priority="8" operator="containsText" text="conforme">
      <formula>NOT(ISERROR(SEARCH("conforme",E21)))</formula>
    </cfRule>
    <cfRule type="containsText" dxfId="179" priority="9" operator="containsText" text="OK">
      <formula>NOT(ISERROR(SEARCH("OK",E21)))</formula>
    </cfRule>
    <cfRule type="containsText" dxfId="178" priority="10" operator="containsText" text="Non conforme">
      <formula>NOT(ISERROR(SEARCH("Non conforme",E21)))</formula>
    </cfRule>
  </conditionalFormatting>
  <conditionalFormatting sqref="E20">
    <cfRule type="containsText" dxfId="177" priority="3" operator="containsText" text="anomalie">
      <formula>NOT(ISERROR(SEARCH("anomalie",E20)))</formula>
    </cfRule>
    <cfRule type="containsText" dxfId="176" priority="4" operator="containsText" text="conforme">
      <formula>NOT(ISERROR(SEARCH("conforme",E20)))</formula>
    </cfRule>
    <cfRule type="containsText" dxfId="175" priority="5" operator="containsText" text="OK">
      <formula>NOT(ISERROR(SEARCH("OK",E20)))</formula>
    </cfRule>
    <cfRule type="containsText" dxfId="174" priority="6" operator="containsText" text="Non conforme">
      <formula>NOT(ISERROR(SEARCH("Non conforme",E20)))</formula>
    </cfRule>
  </conditionalFormatting>
  <conditionalFormatting sqref="J5:K9">
    <cfRule type="expression" dxfId="173" priority="1">
      <formula>$I$14&gt;0</formula>
    </cfRule>
    <cfRule type="expression" dxfId="172" priority="2">
      <formula>$I$14=0</formula>
    </cfRule>
  </conditionalFormatting>
  <hyperlinks>
    <hyperlink ref="J3" location="'Outil contrôle encépagement'!A1" display="Retour à l'accueil" xr:uid="{C8C75E14-D923-4E34-A69F-E056ECBB4EBF}"/>
    <hyperlink ref="O3" location="'CR Rouge'!A1" display="Côtes du Roussillon Rouge" xr:uid="{5D208660-6690-42D7-804B-9D117CF4325D}"/>
    <hyperlink ref="O4" location="'CR Rosé'!A1" display="Côtes du Roussillon Rosé" xr:uid="{775445B7-648B-4CB4-9701-028A0AD41EA7}"/>
    <hyperlink ref="O5" location="'CR Blanc'!A1" display="Côtes du Roussillon Blanc" xr:uid="{D32BBFEC-D236-4F53-9FE9-373DB7A6069B}"/>
    <hyperlink ref="O6:R6" location="'CR Villages'!A1" display="Côtes du Roussillon Villages" xr:uid="{932A67D7-D7A1-4545-93DC-2EC148CCEB2D}"/>
    <hyperlink ref="O7:R7" location="'CR Villages Les Aspres'!A1" display="Côtes du Roussillon Villages Les Aspres" xr:uid="{5742EADF-875F-4649-BF14-E942B7F78D7A}"/>
    <hyperlink ref="O8:R8" location="'CRV LATOUR DE FRANCE'!A1" display="Côtes du Roussillon Villages Latour de France" xr:uid="{B3C7BCCE-9074-4AF4-9933-64D1F6F9C7FF}"/>
    <hyperlink ref="O9:R9" location="'CRV CARAMANY'!A1" display="Côtes du Roussillon Villages Caramany" xr:uid="{B8CB8B2D-0CFE-4DC1-8468-06430F1E5BB0}"/>
    <hyperlink ref="O10:R10" location="'CRV LESQUERDE'!A1" display="Côtes du Roussillon Villages Lesquerde" xr:uid="{E5278DCE-7518-4617-ABA9-DBC4047F0AAF}"/>
    <hyperlink ref="O11:R11" location="'CRV TAUTAVEL'!A1" display="Côtes du Roussillon Villages Tautavel" xr:uid="{BFD09806-5F68-48CE-9D8F-6CC38ECE6ADF}"/>
    <hyperlink ref="O12:R12" location="'MAURY SEC'!A1" display="Maury Sec" xr:uid="{9FB5579A-3B7E-4584-B9CB-6DBDE81B577F}"/>
    <hyperlink ref="O13:R13" location="'MAURY Grenat ou Tuilé'!A1" display="Maury Grenat ou tuilé" xr:uid="{09B5E8EF-E661-4895-8AD0-7AF6386F580F}"/>
    <hyperlink ref="O14:R14" location="'MAURY Ambré ou Blanc'!A1" display="Maury Ambré ou Blanc" xr:uid="{E588E8C1-383A-4F3B-A2C6-10CE7CDACA33}"/>
    <hyperlink ref="O15:R15" location="'Muscat de Riv.'!A1" display="Muscat de Rivesaltes" xr:uid="{33100023-8193-434D-9FCB-6C84D038C672}"/>
    <hyperlink ref="O16:R16" location="'Rivesaltes Ambré, Rosé ou Tuilé'!A1" display="Rivesaltes Ambé, Rosé ou Tuilé" xr:uid="{26581C6D-713F-4087-81EC-10A4C5643464}"/>
    <hyperlink ref="O17:R17" location="'Rivesaltes Grenat'!A1" display="Rivesaltes Grenat" xr:uid="{BE5D4D52-B17C-4561-9A68-F69306EE4997}"/>
  </hyperlinks>
  <pageMargins left="0.7" right="0.7" top="0.75" bottom="0.75" header="0.3" footer="0.3"/>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33"/>
  <sheetViews>
    <sheetView showGridLines="0" showRowColHeaders="0" zoomScale="115" zoomScaleNormal="115" workbookViewId="0">
      <selection activeCell="O7" sqref="O7:R7"/>
    </sheetView>
  </sheetViews>
  <sheetFormatPr baseColWidth="10" defaultRowHeight="15" x14ac:dyDescent="0.25"/>
  <cols>
    <col min="2" max="2" width="19.28515625" customWidth="1"/>
    <col min="3" max="3" width="13.5703125" customWidth="1"/>
    <col min="6" max="8" width="0" hidden="1" customWidth="1"/>
    <col min="9" max="9" width="5.42578125"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136</v>
      </c>
      <c r="C2" s="74"/>
      <c r="D2" s="74"/>
      <c r="E2" s="74"/>
      <c r="N2" s="92" t="s">
        <v>170</v>
      </c>
      <c r="O2" s="93"/>
      <c r="P2" s="93"/>
      <c r="Q2" s="93"/>
      <c r="R2" s="94"/>
    </row>
    <row r="3" spans="2:18" ht="21" customHeight="1" x14ac:dyDescent="0.25">
      <c r="B3" s="75"/>
      <c r="C3" s="75"/>
      <c r="D3" s="75"/>
      <c r="E3" s="75"/>
      <c r="J3" s="72" t="s">
        <v>122</v>
      </c>
      <c r="K3" s="73"/>
      <c r="N3" s="50">
        <v>1</v>
      </c>
      <c r="O3" s="97" t="s">
        <v>107</v>
      </c>
      <c r="P3" s="97"/>
      <c r="Q3" s="97"/>
      <c r="R3" s="98"/>
    </row>
    <row r="4" spans="2:18" ht="30.75" thickBot="1" x14ac:dyDescent="0.3">
      <c r="B4" s="15" t="s">
        <v>7</v>
      </c>
      <c r="C4" s="16" t="s">
        <v>100</v>
      </c>
      <c r="D4" s="15" t="s">
        <v>8</v>
      </c>
      <c r="E4" s="15" t="s">
        <v>9</v>
      </c>
      <c r="F4" t="s">
        <v>42</v>
      </c>
      <c r="G4" s="1" t="s">
        <v>13</v>
      </c>
      <c r="H4" s="1" t="s">
        <v>14</v>
      </c>
      <c r="N4" s="50">
        <v>2</v>
      </c>
      <c r="O4" s="97" t="s">
        <v>109</v>
      </c>
      <c r="P4" s="97"/>
      <c r="Q4" s="97"/>
      <c r="R4" s="98"/>
    </row>
    <row r="5" spans="2:18" ht="15" customHeight="1" x14ac:dyDescent="0.25">
      <c r="B5" s="36" t="s">
        <v>0</v>
      </c>
      <c r="C5" s="5" t="s">
        <v>11</v>
      </c>
      <c r="D5" s="14">
        <v>10</v>
      </c>
      <c r="E5" s="8">
        <f>D5*100/D10</f>
        <v>61.7287761035562</v>
      </c>
      <c r="F5" s="4">
        <f>ROUND(E5,2)</f>
        <v>61.73</v>
      </c>
      <c r="G5">
        <f>IF(C5="P",F5,0)</f>
        <v>61.73</v>
      </c>
      <c r="H5">
        <f>IF(C5="A",E5,0)</f>
        <v>0</v>
      </c>
      <c r="J5" s="83" t="str">
        <f>IF(I14=0,"Encépagement conforme aux règles du Cahier des Charges","Encépagement NON conforme aux règles du Cahier des Charges")</f>
        <v>Encépagement NON conforme aux règles du Cahier des Charges</v>
      </c>
      <c r="K5" s="84"/>
      <c r="N5" s="50">
        <v>3</v>
      </c>
      <c r="O5" s="97" t="s">
        <v>110</v>
      </c>
      <c r="P5" s="97"/>
      <c r="Q5" s="97"/>
      <c r="R5" s="98"/>
    </row>
    <row r="6" spans="2:18" ht="15" customHeight="1" x14ac:dyDescent="0.25">
      <c r="B6" s="36" t="s">
        <v>1</v>
      </c>
      <c r="C6" s="5" t="s">
        <v>11</v>
      </c>
      <c r="D6" s="14">
        <v>1</v>
      </c>
      <c r="E6" s="8">
        <f>D6*100/D10</f>
        <v>6.17287761035562</v>
      </c>
      <c r="F6" s="4">
        <f>ROUND(E6,2)</f>
        <v>6.17</v>
      </c>
      <c r="G6">
        <f t="shared" ref="G6:G9" si="0">IF(C6="P",F6,0)</f>
        <v>6.17</v>
      </c>
      <c r="H6">
        <f>IF(C6="A",E6,0)</f>
        <v>0</v>
      </c>
      <c r="J6" s="85"/>
      <c r="K6" s="86"/>
      <c r="N6" s="50">
        <v>4</v>
      </c>
      <c r="O6" s="99" t="s">
        <v>108</v>
      </c>
      <c r="P6" s="99"/>
      <c r="Q6" s="99"/>
      <c r="R6" s="100"/>
    </row>
    <row r="7" spans="2:18" ht="15" customHeight="1" x14ac:dyDescent="0.25">
      <c r="B7" s="36" t="s">
        <v>2</v>
      </c>
      <c r="C7" s="5" t="s">
        <v>11</v>
      </c>
      <c r="D7" s="14">
        <v>1</v>
      </c>
      <c r="E7" s="8">
        <f>D7*100/D10</f>
        <v>6.17287761035562</v>
      </c>
      <c r="F7" s="4">
        <f t="shared" ref="F7:F9" si="1">ROUND(E7,2)</f>
        <v>6.17</v>
      </c>
      <c r="G7">
        <f t="shared" si="0"/>
        <v>6.17</v>
      </c>
      <c r="H7">
        <f>IF(C7="A",E7,0)</f>
        <v>0</v>
      </c>
      <c r="J7" s="85"/>
      <c r="K7" s="86"/>
      <c r="N7" s="50">
        <v>5</v>
      </c>
      <c r="O7" s="99" t="s">
        <v>111</v>
      </c>
      <c r="P7" s="99"/>
      <c r="Q7" s="99"/>
      <c r="R7" s="100"/>
    </row>
    <row r="8" spans="2:18" ht="15" customHeight="1" x14ac:dyDescent="0.25">
      <c r="B8" s="36" t="s">
        <v>3</v>
      </c>
      <c r="C8" s="5" t="s">
        <v>11</v>
      </c>
      <c r="D8" s="14">
        <v>4.1999000000000004</v>
      </c>
      <c r="E8" s="8">
        <f>D8*100/D10</f>
        <v>25.925468675732571</v>
      </c>
      <c r="F8" s="4">
        <f t="shared" si="1"/>
        <v>25.93</v>
      </c>
      <c r="G8">
        <f t="shared" si="0"/>
        <v>25.93</v>
      </c>
      <c r="H8">
        <f>IF(C8="A",E8,0)</f>
        <v>0</v>
      </c>
      <c r="J8" s="85"/>
      <c r="K8" s="86"/>
      <c r="N8" s="50">
        <v>6</v>
      </c>
      <c r="O8" s="99" t="s">
        <v>112</v>
      </c>
      <c r="P8" s="99"/>
      <c r="Q8" s="99"/>
      <c r="R8" s="100"/>
    </row>
    <row r="9" spans="2:18" ht="15.75" customHeight="1" thickBot="1" x14ac:dyDescent="0.3">
      <c r="B9" s="36" t="s">
        <v>5</v>
      </c>
      <c r="C9" s="5" t="s">
        <v>12</v>
      </c>
      <c r="D9" s="14"/>
      <c r="E9" s="8">
        <f>D9*100/D10</f>
        <v>0</v>
      </c>
      <c r="F9" s="4">
        <f t="shared" si="1"/>
        <v>0</v>
      </c>
      <c r="G9">
        <f t="shared" si="0"/>
        <v>0</v>
      </c>
      <c r="H9">
        <f>IF(C9="A",E9,0)</f>
        <v>0</v>
      </c>
      <c r="J9" s="87"/>
      <c r="K9" s="88"/>
      <c r="N9" s="50">
        <v>7</v>
      </c>
      <c r="O9" s="99" t="s">
        <v>113</v>
      </c>
      <c r="P9" s="99"/>
      <c r="Q9" s="99"/>
      <c r="R9" s="100"/>
    </row>
    <row r="10" spans="2:18" x14ac:dyDescent="0.25">
      <c r="B10" s="81" t="s">
        <v>10</v>
      </c>
      <c r="C10" s="82"/>
      <c r="D10" s="12">
        <f>SUM(D5:D9)</f>
        <v>16.1999</v>
      </c>
      <c r="E10" s="20">
        <f>SUM(E5:E9)</f>
        <v>100.00000000000001</v>
      </c>
      <c r="F10">
        <f>SUM(F5:F9)</f>
        <v>100</v>
      </c>
      <c r="G10">
        <f>SUM(G5:G9)</f>
        <v>100</v>
      </c>
      <c r="H10">
        <f>SUM(H5:H9)</f>
        <v>0</v>
      </c>
      <c r="N10" s="50">
        <v>8</v>
      </c>
      <c r="O10" s="99" t="s">
        <v>114</v>
      </c>
      <c r="P10" s="99"/>
      <c r="Q10" s="99"/>
      <c r="R10" s="100"/>
    </row>
    <row r="11" spans="2:18" x14ac:dyDescent="0.25">
      <c r="D11" s="38">
        <f>COUNT(D5:D9)</f>
        <v>4</v>
      </c>
      <c r="F11">
        <f>MAX(F5:F9)</f>
        <v>61.73</v>
      </c>
      <c r="N11" s="50">
        <v>9</v>
      </c>
      <c r="O11" s="99" t="s">
        <v>115</v>
      </c>
      <c r="P11" s="99"/>
      <c r="Q11" s="99"/>
      <c r="R11" s="100"/>
    </row>
    <row r="12" spans="2:18" x14ac:dyDescent="0.25">
      <c r="N12" s="50">
        <v>10</v>
      </c>
      <c r="O12" s="99" t="s">
        <v>116</v>
      </c>
      <c r="P12" s="99"/>
      <c r="Q12" s="99"/>
      <c r="R12" s="100"/>
    </row>
    <row r="13" spans="2:18" ht="15.75" thickBot="1" x14ac:dyDescent="0.3">
      <c r="J13" s="91" t="s">
        <v>102</v>
      </c>
      <c r="K13" s="91"/>
      <c r="L13" s="25">
        <f>D7+D8</f>
        <v>5.1999000000000004</v>
      </c>
      <c r="N13" s="50">
        <v>11</v>
      </c>
      <c r="O13" s="99" t="s">
        <v>117</v>
      </c>
      <c r="P13" s="99"/>
      <c r="Q13" s="99"/>
      <c r="R13" s="100"/>
    </row>
    <row r="14" spans="2:18" ht="16.5" thickBot="1" x14ac:dyDescent="0.3">
      <c r="B14" s="78" t="s">
        <v>71</v>
      </c>
      <c r="C14" s="79"/>
      <c r="D14" s="79"/>
      <c r="E14" s="80"/>
      <c r="I14" s="38">
        <f>SUM(I15:I20)</f>
        <v>1</v>
      </c>
      <c r="J14" s="91" t="s">
        <v>138</v>
      </c>
      <c r="K14" s="91"/>
      <c r="L14" s="25">
        <f>(L13*100)/30</f>
        <v>17.333000000000002</v>
      </c>
      <c r="N14" s="50">
        <v>12</v>
      </c>
      <c r="O14" s="99" t="s">
        <v>118</v>
      </c>
      <c r="P14" s="99"/>
      <c r="Q14" s="99"/>
      <c r="R14" s="100"/>
    </row>
    <row r="15" spans="2:18" x14ac:dyDescent="0.25">
      <c r="B15" s="101" t="s">
        <v>93</v>
      </c>
      <c r="C15" s="102"/>
      <c r="D15" s="102"/>
      <c r="E15" s="19" t="str">
        <f>D28</f>
        <v>conforme</v>
      </c>
      <c r="I15" s="18">
        <f>IF(E15="conforme",0,1)</f>
        <v>0</v>
      </c>
      <c r="N15" s="50">
        <v>13</v>
      </c>
      <c r="O15" s="99" t="s">
        <v>119</v>
      </c>
      <c r="P15" s="99"/>
      <c r="Q15" s="99"/>
      <c r="R15" s="100"/>
    </row>
    <row r="16" spans="2:18" ht="30" customHeight="1" x14ac:dyDescent="0.25">
      <c r="B16" s="76" t="s">
        <v>89</v>
      </c>
      <c r="C16" s="77"/>
      <c r="D16" s="77"/>
      <c r="E16" s="24" t="str">
        <f>G29</f>
        <v>conforme</v>
      </c>
      <c r="I16" s="18">
        <f t="shared" ref="I16:I20" si="2">IF(E16="conforme",0,1)</f>
        <v>0</v>
      </c>
      <c r="N16" s="50">
        <v>14</v>
      </c>
      <c r="O16" s="99" t="s">
        <v>120</v>
      </c>
      <c r="P16" s="99"/>
      <c r="Q16" s="99"/>
      <c r="R16" s="100"/>
    </row>
    <row r="17" spans="2:18" ht="15.75" thickBot="1" x14ac:dyDescent="0.3">
      <c r="B17" s="76" t="s">
        <v>90</v>
      </c>
      <c r="C17" s="77"/>
      <c r="D17" s="77"/>
      <c r="E17" s="10" t="str">
        <f>H30</f>
        <v>conforme</v>
      </c>
      <c r="I17" s="18">
        <f t="shared" si="2"/>
        <v>0</v>
      </c>
      <c r="J17" s="91" t="s">
        <v>103</v>
      </c>
      <c r="K17" s="91"/>
      <c r="L17" s="27">
        <f>(E5+E6+E7+E8)/100</f>
        <v>1.0000000000000002</v>
      </c>
      <c r="N17" s="51">
        <v>15</v>
      </c>
      <c r="O17" s="95" t="s">
        <v>121</v>
      </c>
      <c r="P17" s="95"/>
      <c r="Q17" s="95"/>
      <c r="R17" s="96"/>
    </row>
    <row r="18" spans="2:18" x14ac:dyDescent="0.25">
      <c r="B18" s="68" t="s">
        <v>83</v>
      </c>
      <c r="C18" s="69"/>
      <c r="D18" s="69"/>
      <c r="E18" s="10" t="str">
        <f>F31</f>
        <v>conforme</v>
      </c>
      <c r="I18" s="18">
        <f t="shared" si="2"/>
        <v>0</v>
      </c>
      <c r="J18" s="91" t="s">
        <v>104</v>
      </c>
      <c r="K18" s="91"/>
      <c r="L18" s="26">
        <f>(E9)/100</f>
        <v>0</v>
      </c>
    </row>
    <row r="19" spans="2:18" x14ac:dyDescent="0.25">
      <c r="B19" s="68" t="s">
        <v>91</v>
      </c>
      <c r="C19" s="69"/>
      <c r="D19" s="69"/>
      <c r="E19" s="10" t="str">
        <f>E32</f>
        <v>anomalie</v>
      </c>
      <c r="I19" s="18">
        <f t="shared" si="2"/>
        <v>1</v>
      </c>
    </row>
    <row r="20" spans="2:18" ht="15.75" thickBot="1" x14ac:dyDescent="0.3">
      <c r="B20" s="70" t="s">
        <v>135</v>
      </c>
      <c r="C20" s="71"/>
      <c r="D20" s="71"/>
      <c r="E20" s="11" t="str">
        <f>E33</f>
        <v>conforme</v>
      </c>
      <c r="I20" s="18">
        <f t="shared" si="2"/>
        <v>0</v>
      </c>
    </row>
    <row r="22" spans="2:18" x14ac:dyDescent="0.25">
      <c r="B22" t="s">
        <v>78</v>
      </c>
    </row>
    <row r="23" spans="2:18" x14ac:dyDescent="0.25">
      <c r="B23" t="s">
        <v>80</v>
      </c>
    </row>
    <row r="24" spans="2:18" x14ac:dyDescent="0.25">
      <c r="B24" t="s">
        <v>79</v>
      </c>
    </row>
    <row r="25" spans="2:18" x14ac:dyDescent="0.25">
      <c r="B25" t="str">
        <f>"* Potentiel calculé sur la base de la règle la plus limitante ("&amp;J13&amp;"), sans préjuger de l'encépagement restant sur l'exploitation."</f>
        <v>* Potentiel calculé sur la base de la règle la plus limitante (Surface Sy/Mrvd : ), sans préjuger de l'encépagement restant sur l'exploitation.</v>
      </c>
    </row>
    <row r="28" spans="2:18" hidden="1" x14ac:dyDescent="0.25">
      <c r="B28" t="s">
        <v>16</v>
      </c>
      <c r="D28" t="str">
        <f>IF(D11&gt;=2,"conforme","anomalie" )</f>
        <v>conforme</v>
      </c>
    </row>
    <row r="29" spans="2:18" ht="75" hidden="1" x14ac:dyDescent="0.25">
      <c r="B29" s="1" t="s">
        <v>58</v>
      </c>
      <c r="G29" t="str">
        <f>IF(G10&gt;=80,"conforme","anomalie")</f>
        <v>conforme</v>
      </c>
    </row>
    <row r="30" spans="2:18" ht="45" hidden="1" x14ac:dyDescent="0.25">
      <c r="B30" s="1" t="s">
        <v>68</v>
      </c>
      <c r="H30" t="str">
        <f>IF(H10&lt;=20,"conforme","anomalie" )</f>
        <v>conforme</v>
      </c>
    </row>
    <row r="31" spans="2:18" hidden="1" x14ac:dyDescent="0.25">
      <c r="B31" t="s">
        <v>15</v>
      </c>
      <c r="F31" t="str">
        <f>IF(F11&lt;=70,"conforme","anomalie")</f>
        <v>conforme</v>
      </c>
    </row>
    <row r="32" spans="2:18" hidden="1" x14ac:dyDescent="0.25">
      <c r="B32" t="s">
        <v>27</v>
      </c>
      <c r="E32" t="str">
        <f>IF(E5&lt;=60,"conforme","anomalie" )</f>
        <v>anomalie</v>
      </c>
    </row>
    <row r="33" spans="2:5" hidden="1" x14ac:dyDescent="0.25">
      <c r="B33" t="s">
        <v>28</v>
      </c>
      <c r="E33" t="str">
        <f>IF(E7+E8&gt;=30,"conforme","anomalie" )</f>
        <v>conforme</v>
      </c>
    </row>
  </sheetData>
  <sheetProtection algorithmName="SHA-512" hashValue="WxPATdQEqDOTv87b1dcjrhJ5Xwq7hxCgKdl7F0EgBe3L60a6ZSbPZgHICNYRqkL60191Sz0+s+YF1hfUk3lvqQ==" saltValue="s6dZgect1gD3ycDnO6+GQw==" spinCount="100000" sheet="1" objects="1" scenarios="1"/>
  <mergeCells count="31">
    <mergeCell ref="O17:R17"/>
    <mergeCell ref="O12:R12"/>
    <mergeCell ref="O13:R13"/>
    <mergeCell ref="O14:R14"/>
    <mergeCell ref="O15:R15"/>
    <mergeCell ref="O16:R16"/>
    <mergeCell ref="O7:R7"/>
    <mergeCell ref="O8:R8"/>
    <mergeCell ref="O9:R9"/>
    <mergeCell ref="O10:R10"/>
    <mergeCell ref="O11:R11"/>
    <mergeCell ref="N2:R2"/>
    <mergeCell ref="O3:R3"/>
    <mergeCell ref="O4:R4"/>
    <mergeCell ref="O5:R5"/>
    <mergeCell ref="O6:R6"/>
    <mergeCell ref="B10:C10"/>
    <mergeCell ref="B20:D20"/>
    <mergeCell ref="J3:K3"/>
    <mergeCell ref="B2:E3"/>
    <mergeCell ref="J5:K9"/>
    <mergeCell ref="J13:K13"/>
    <mergeCell ref="J14:K14"/>
    <mergeCell ref="J18:K18"/>
    <mergeCell ref="J17:K17"/>
    <mergeCell ref="B14:E14"/>
    <mergeCell ref="B15:D15"/>
    <mergeCell ref="B16:D16"/>
    <mergeCell ref="B17:D17"/>
    <mergeCell ref="B18:D18"/>
    <mergeCell ref="B19:D19"/>
  </mergeCells>
  <conditionalFormatting sqref="D28">
    <cfRule type="containsText" dxfId="171" priority="31" operator="containsText" text="OK">
      <formula>NOT(ISERROR(SEARCH("OK",D28)))</formula>
    </cfRule>
    <cfRule type="containsText" dxfId="170" priority="32" operator="containsText" text="Non conforme">
      <formula>NOT(ISERROR(SEARCH("Non conforme",D28)))</formula>
    </cfRule>
  </conditionalFormatting>
  <conditionalFormatting sqref="G29:G31">
    <cfRule type="containsText" dxfId="169" priority="29" operator="containsText" text="OK">
      <formula>NOT(ISERROR(SEARCH("OK",G29)))</formula>
    </cfRule>
    <cfRule type="containsText" dxfId="168" priority="30" operator="containsText" text="Non conforme">
      <formula>NOT(ISERROR(SEARCH("Non conforme",G29)))</formula>
    </cfRule>
  </conditionalFormatting>
  <conditionalFormatting sqref="E32:F33">
    <cfRule type="containsText" dxfId="167" priority="27" operator="containsText" text="OK">
      <formula>NOT(ISERROR(SEARCH("OK",E32)))</formula>
    </cfRule>
    <cfRule type="containsText" dxfId="166" priority="28" operator="containsText" text="Non conforme">
      <formula>NOT(ISERROR(SEARCH("Non conforme",E32)))</formula>
    </cfRule>
  </conditionalFormatting>
  <conditionalFormatting sqref="F31">
    <cfRule type="containsText" dxfId="165" priority="25" operator="containsText" text="OK">
      <formula>NOT(ISERROR(SEARCH("OK",F31)))</formula>
    </cfRule>
    <cfRule type="containsText" dxfId="164" priority="26" operator="containsText" text="Non conforme">
      <formula>NOT(ISERROR(SEARCH("Non conforme",F31)))</formula>
    </cfRule>
  </conditionalFormatting>
  <conditionalFormatting sqref="H30">
    <cfRule type="containsText" dxfId="163" priority="23" operator="containsText" text="OK">
      <formula>NOT(ISERROR(SEARCH("OK",H30)))</formula>
    </cfRule>
    <cfRule type="containsText" dxfId="162" priority="24" operator="containsText" text="Non conforme">
      <formula>NOT(ISERROR(SEARCH("Non conforme",H30)))</formula>
    </cfRule>
  </conditionalFormatting>
  <conditionalFormatting sqref="D28:H33">
    <cfRule type="containsText" dxfId="161" priority="21" operator="containsText" text="anomalie">
      <formula>NOT(ISERROR(SEARCH("anomalie",D28)))</formula>
    </cfRule>
    <cfRule type="containsText" dxfId="160" priority="22" operator="containsText" text="conforme">
      <formula>NOT(ISERROR(SEARCH("conforme",D28)))</formula>
    </cfRule>
  </conditionalFormatting>
  <conditionalFormatting sqref="E15:E18">
    <cfRule type="containsText" dxfId="159" priority="17" operator="containsText" text="anomalie">
      <formula>NOT(ISERROR(SEARCH("anomalie",E15)))</formula>
    </cfRule>
    <cfRule type="containsText" dxfId="158" priority="18" operator="containsText" text="conforme">
      <formula>NOT(ISERROR(SEARCH("conforme",E15)))</formula>
    </cfRule>
    <cfRule type="containsText" dxfId="157" priority="19" operator="containsText" text="OK">
      <formula>NOT(ISERROR(SEARCH("OK",E15)))</formula>
    </cfRule>
    <cfRule type="containsText" dxfId="156" priority="20" operator="containsText" text="Non conforme">
      <formula>NOT(ISERROR(SEARCH("Non conforme",E15)))</formula>
    </cfRule>
  </conditionalFormatting>
  <conditionalFormatting sqref="E19">
    <cfRule type="containsText" dxfId="155" priority="13" operator="containsText" text="anomalie">
      <formula>NOT(ISERROR(SEARCH("anomalie",E19)))</formula>
    </cfRule>
    <cfRule type="containsText" dxfId="154" priority="14" operator="containsText" text="conforme">
      <formula>NOT(ISERROR(SEARCH("conforme",E19)))</formula>
    </cfRule>
    <cfRule type="containsText" dxfId="153" priority="15" operator="containsText" text="OK">
      <formula>NOT(ISERROR(SEARCH("OK",E19)))</formula>
    </cfRule>
    <cfRule type="containsText" dxfId="152" priority="16" operator="containsText" text="Non conforme">
      <formula>NOT(ISERROR(SEARCH("Non conforme",E19)))</formula>
    </cfRule>
  </conditionalFormatting>
  <conditionalFormatting sqref="E20">
    <cfRule type="containsText" dxfId="151" priority="9" operator="containsText" text="anomalie">
      <formula>NOT(ISERROR(SEARCH("anomalie",E20)))</formula>
    </cfRule>
    <cfRule type="containsText" dxfId="150" priority="10" operator="containsText" text="conforme">
      <formula>NOT(ISERROR(SEARCH("conforme",E20)))</formula>
    </cfRule>
    <cfRule type="containsText" dxfId="149" priority="11" operator="containsText" text="OK">
      <formula>NOT(ISERROR(SEARCH("OK",E20)))</formula>
    </cfRule>
    <cfRule type="containsText" dxfId="148" priority="12" operator="containsText" text="Non conforme">
      <formula>NOT(ISERROR(SEARCH("Non conforme",E20)))</formula>
    </cfRule>
  </conditionalFormatting>
  <conditionalFormatting sqref="J5:K9">
    <cfRule type="expression" dxfId="147" priority="1">
      <formula>$I$14&gt;0</formula>
    </cfRule>
    <cfRule type="expression" dxfId="146" priority="2">
      <formula>$I$14=0</formula>
    </cfRule>
  </conditionalFormatting>
  <hyperlinks>
    <hyperlink ref="J3" location="'Outil contrôle encépagement'!A1" display="Retour à l'accueil" xr:uid="{9BF04362-34AF-4DF0-98AD-8A00E6F2D420}"/>
    <hyperlink ref="O3" location="'CR Rouge'!A1" display="Côtes du Roussillon Rouge" xr:uid="{B6DA221B-1901-4A44-A827-2B98C935AF00}"/>
    <hyperlink ref="O4" location="'CR Rosé'!A1" display="Côtes du Roussillon Rosé" xr:uid="{DC78E7CA-022D-487E-B6B8-D9A5D4ACE858}"/>
    <hyperlink ref="O5" location="'CR Blanc'!A1" display="Côtes du Roussillon Blanc" xr:uid="{29DBE8B4-413B-40DC-9A55-031B1B5767E8}"/>
    <hyperlink ref="O6:R6" location="'CR Villages'!A1" display="Côtes du Roussillon Villages" xr:uid="{4E3A12D3-3F87-4B4A-A6D5-09A2539A59F1}"/>
    <hyperlink ref="O7:R7" location="'CR Villages Les Aspres'!A1" display="Côtes du Roussillon Villages Les Aspres" xr:uid="{1A68413C-D10A-4FCE-ABB6-F3ACFF222297}"/>
    <hyperlink ref="O8:R8" location="'CRV LATOUR DE FRANCE'!A1" display="Côtes du Roussillon Villages Latour de France" xr:uid="{97F9D956-5CD2-4B3E-83FA-7A7C53130F7C}"/>
    <hyperlink ref="O9:R9" location="'CRV CARAMANY'!A1" display="Côtes du Roussillon Villages Caramany" xr:uid="{1EFE114B-3F44-4256-89A3-43693679E546}"/>
    <hyperlink ref="O10:R10" location="'CRV LESQUERDE'!A1" display="Côtes du Roussillon Villages Lesquerde" xr:uid="{D7236927-5244-48E2-B91D-D75EDBE55EC6}"/>
    <hyperlink ref="O11:R11" location="'CRV TAUTAVEL'!A1" display="Côtes du Roussillon Villages Tautavel" xr:uid="{64C3AEF5-FD57-48CC-B263-03684BF70D79}"/>
    <hyperlink ref="O12:R12" location="'MAURY SEC'!A1" display="Maury Sec" xr:uid="{FBF2FDC7-279C-42AA-A3B3-377DC8504236}"/>
    <hyperlink ref="O13:R13" location="'MAURY Grenat ou Tuilé'!A1" display="Maury Grenat ou tuilé" xr:uid="{44524293-41F0-4EDD-B5EA-2D0676937B73}"/>
    <hyperlink ref="O14:R14" location="'MAURY Ambré ou Blanc'!A1" display="Maury Ambré ou Blanc" xr:uid="{B2D4AD23-2C8C-4C40-B7D0-6DB5E0C914B0}"/>
    <hyperlink ref="O15:R15" location="'Muscat de Riv.'!A1" display="Muscat de Rivesaltes" xr:uid="{59D7B25D-0309-4781-A754-58555F28D7FD}"/>
    <hyperlink ref="O16:R16" location="'Rivesaltes Ambré, Rosé ou Tuilé'!A1" display="Rivesaltes Ambé, Rosé ou Tuilé" xr:uid="{91A87C9E-C6A3-463F-A813-FA5902211120}"/>
    <hyperlink ref="O17:R17" location="'Rivesaltes Grenat'!A1" display="Rivesaltes Grenat" xr:uid="{C13F4DA9-7D14-41A0-865D-6B7F6AF9AC00}"/>
  </hyperlink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33"/>
  <sheetViews>
    <sheetView showGridLines="0" showRowColHeaders="0" zoomScale="120" zoomScaleNormal="120" workbookViewId="0">
      <selection activeCell="N1" sqref="N1:R1048576"/>
    </sheetView>
  </sheetViews>
  <sheetFormatPr baseColWidth="10" defaultRowHeight="15" x14ac:dyDescent="0.25"/>
  <cols>
    <col min="2" max="2" width="17.5703125" customWidth="1"/>
    <col min="3" max="3" width="13.7109375" customWidth="1"/>
    <col min="6" max="8" width="0" hidden="1" customWidth="1"/>
    <col min="9" max="9" width="5.28515625"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140</v>
      </c>
      <c r="C2" s="74"/>
      <c r="D2" s="74"/>
      <c r="E2" s="74"/>
      <c r="N2" s="92" t="s">
        <v>170</v>
      </c>
      <c r="O2" s="93"/>
      <c r="P2" s="93"/>
      <c r="Q2" s="93"/>
      <c r="R2" s="94"/>
    </row>
    <row r="3" spans="2:18" ht="18.75" x14ac:dyDescent="0.25">
      <c r="B3" s="75"/>
      <c r="C3" s="75"/>
      <c r="D3" s="75"/>
      <c r="E3" s="75"/>
      <c r="J3" s="72" t="s">
        <v>122</v>
      </c>
      <c r="K3" s="73"/>
      <c r="N3" s="50">
        <v>1</v>
      </c>
      <c r="O3" s="97" t="s">
        <v>107</v>
      </c>
      <c r="P3" s="97"/>
      <c r="Q3" s="97"/>
      <c r="R3" s="98"/>
    </row>
    <row r="4" spans="2:18" ht="30.75" thickBot="1" x14ac:dyDescent="0.3">
      <c r="B4" s="15" t="s">
        <v>7</v>
      </c>
      <c r="C4" s="16" t="s">
        <v>100</v>
      </c>
      <c r="D4" s="15" t="s">
        <v>8</v>
      </c>
      <c r="E4" s="15" t="s">
        <v>9</v>
      </c>
      <c r="F4" t="s">
        <v>43</v>
      </c>
      <c r="G4" s="1" t="s">
        <v>13</v>
      </c>
      <c r="H4" s="1" t="s">
        <v>14</v>
      </c>
      <c r="I4" s="1"/>
      <c r="N4" s="50">
        <v>2</v>
      </c>
      <c r="O4" s="97" t="s">
        <v>109</v>
      </c>
      <c r="P4" s="97"/>
      <c r="Q4" s="97"/>
      <c r="R4" s="98"/>
    </row>
    <row r="5" spans="2:18" ht="15" customHeight="1" x14ac:dyDescent="0.25">
      <c r="B5" s="36" t="s">
        <v>0</v>
      </c>
      <c r="C5" s="5" t="s">
        <v>11</v>
      </c>
      <c r="D5" s="14">
        <v>1</v>
      </c>
      <c r="E5" s="8">
        <f>D5*100/D9</f>
        <v>11.092746453094321</v>
      </c>
      <c r="F5" s="4">
        <f>ROUND(E5,2)</f>
        <v>11.09</v>
      </c>
      <c r="G5">
        <f>IF(C5="P",F5,0)</f>
        <v>11.09</v>
      </c>
      <c r="H5">
        <f>IF(C5="A",E5,0)</f>
        <v>0</v>
      </c>
      <c r="J5" s="83" t="str">
        <f>IF(I12=0,"Encépagement conforme aux règles du Cahier des Charges","Encépagement NON conforme aux règles du Cahier des Charges")</f>
        <v>Encépagement conforme aux règles du Cahier des Charges</v>
      </c>
      <c r="K5" s="84"/>
      <c r="N5" s="50">
        <v>3</v>
      </c>
      <c r="O5" s="97" t="s">
        <v>110</v>
      </c>
      <c r="P5" s="97"/>
      <c r="Q5" s="97"/>
      <c r="R5" s="98"/>
    </row>
    <row r="6" spans="2:18" ht="15" customHeight="1" x14ac:dyDescent="0.25">
      <c r="B6" s="36" t="s">
        <v>1</v>
      </c>
      <c r="C6" s="5" t="s">
        <v>11</v>
      </c>
      <c r="D6" s="14">
        <v>3.8149999999999999</v>
      </c>
      <c r="E6" s="8">
        <f>D6*100/D9</f>
        <v>42.318827718554836</v>
      </c>
      <c r="F6" s="4">
        <f>ROUND(E6,2)</f>
        <v>42.32</v>
      </c>
      <c r="G6">
        <f t="shared" ref="G6:G8" si="0">IF(C6="P",F6,0)</f>
        <v>42.32</v>
      </c>
      <c r="H6">
        <f>IF(C6="A",E6,0)</f>
        <v>0</v>
      </c>
      <c r="J6" s="85"/>
      <c r="K6" s="86"/>
      <c r="N6" s="50">
        <v>4</v>
      </c>
      <c r="O6" s="99" t="s">
        <v>108</v>
      </c>
      <c r="P6" s="99"/>
      <c r="Q6" s="99"/>
      <c r="R6" s="100"/>
    </row>
    <row r="7" spans="2:18" ht="15" customHeight="1" x14ac:dyDescent="0.25">
      <c r="B7" s="36" t="s">
        <v>3</v>
      </c>
      <c r="C7" s="5" t="s">
        <v>11</v>
      </c>
      <c r="D7" s="14">
        <v>4.1999000000000004</v>
      </c>
      <c r="E7" s="8">
        <f>D7*100/D9</f>
        <v>46.588425828350843</v>
      </c>
      <c r="F7" s="4">
        <f t="shared" ref="F7:F8" si="1">ROUND(E7,2)</f>
        <v>46.59</v>
      </c>
      <c r="G7">
        <f t="shared" si="0"/>
        <v>46.59</v>
      </c>
      <c r="H7">
        <f>IF(C7="A",E7,0)</f>
        <v>0</v>
      </c>
      <c r="J7" s="85"/>
      <c r="K7" s="86"/>
      <c r="N7" s="50">
        <v>5</v>
      </c>
      <c r="O7" s="99" t="s">
        <v>111</v>
      </c>
      <c r="P7" s="99"/>
      <c r="Q7" s="99"/>
      <c r="R7" s="100"/>
    </row>
    <row r="8" spans="2:18" ht="15" customHeight="1" x14ac:dyDescent="0.25">
      <c r="B8" s="36" t="s">
        <v>5</v>
      </c>
      <c r="C8" s="5" t="s">
        <v>12</v>
      </c>
      <c r="D8" s="14"/>
      <c r="E8" s="8">
        <f>D8*100/D9</f>
        <v>0</v>
      </c>
      <c r="F8" s="4">
        <f t="shared" si="1"/>
        <v>0</v>
      </c>
      <c r="G8">
        <f t="shared" si="0"/>
        <v>0</v>
      </c>
      <c r="H8">
        <f>IF(C8="A",E8,0)</f>
        <v>0</v>
      </c>
      <c r="J8" s="85"/>
      <c r="K8" s="86"/>
      <c r="N8" s="50">
        <v>6</v>
      </c>
      <c r="O8" s="99" t="s">
        <v>112</v>
      </c>
      <c r="P8" s="99"/>
      <c r="Q8" s="99"/>
      <c r="R8" s="100"/>
    </row>
    <row r="9" spans="2:18" ht="15.75" customHeight="1" thickBot="1" x14ac:dyDescent="0.3">
      <c r="B9" s="81" t="s">
        <v>10</v>
      </c>
      <c r="C9" s="82"/>
      <c r="D9" s="12">
        <f>SUM(D5:D8)</f>
        <v>9.0149000000000008</v>
      </c>
      <c r="E9" s="20">
        <f>SUM(E5:E8)</f>
        <v>100</v>
      </c>
      <c r="F9">
        <f>SUM(F5:F8)</f>
        <v>100</v>
      </c>
      <c r="G9">
        <f>SUM(G5:G8)</f>
        <v>100</v>
      </c>
      <c r="H9">
        <f>SUM(H5:H8)</f>
        <v>0</v>
      </c>
      <c r="J9" s="87"/>
      <c r="K9" s="88"/>
      <c r="N9" s="50">
        <v>7</v>
      </c>
      <c r="O9" s="99" t="s">
        <v>113</v>
      </c>
      <c r="P9" s="99"/>
      <c r="Q9" s="99"/>
      <c r="R9" s="100"/>
    </row>
    <row r="10" spans="2:18" s="38" customFormat="1" x14ac:dyDescent="0.25">
      <c r="D10" s="38">
        <f>COUNT(D5:D8)</f>
        <v>3</v>
      </c>
      <c r="F10" s="38">
        <f>MAX(F5:F8)</f>
        <v>46.59</v>
      </c>
      <c r="N10" s="50">
        <v>8</v>
      </c>
      <c r="O10" s="99" t="s">
        <v>114</v>
      </c>
      <c r="P10" s="99"/>
      <c r="Q10" s="99"/>
      <c r="R10" s="100"/>
    </row>
    <row r="11" spans="2:18" ht="15.75" thickBot="1" x14ac:dyDescent="0.3">
      <c r="N11" s="50">
        <v>9</v>
      </c>
      <c r="O11" s="99" t="s">
        <v>115</v>
      </c>
      <c r="P11" s="99"/>
      <c r="Q11" s="99"/>
      <c r="R11" s="100"/>
    </row>
    <row r="12" spans="2:18" ht="16.5" thickBot="1" x14ac:dyDescent="0.3">
      <c r="B12" s="78" t="s">
        <v>71</v>
      </c>
      <c r="C12" s="79"/>
      <c r="D12" s="79"/>
      <c r="E12" s="80"/>
      <c r="I12" s="38">
        <f>SUM(I13:I18)</f>
        <v>0</v>
      </c>
      <c r="J12" s="91" t="s">
        <v>139</v>
      </c>
      <c r="K12" s="91"/>
      <c r="L12" s="25">
        <f>D7</f>
        <v>4.1999000000000004</v>
      </c>
      <c r="N12" s="50">
        <v>10</v>
      </c>
      <c r="O12" s="99" t="s">
        <v>116</v>
      </c>
      <c r="P12" s="99"/>
      <c r="Q12" s="99"/>
      <c r="R12" s="100"/>
    </row>
    <row r="13" spans="2:18" x14ac:dyDescent="0.25">
      <c r="B13" s="101" t="s">
        <v>93</v>
      </c>
      <c r="C13" s="102"/>
      <c r="D13" s="102"/>
      <c r="E13" s="19" t="str">
        <f>D27</f>
        <v>conforme</v>
      </c>
      <c r="I13" s="18">
        <f>IF(E13="conforme",0,1)</f>
        <v>0</v>
      </c>
      <c r="J13" s="91" t="s">
        <v>138</v>
      </c>
      <c r="K13" s="91"/>
      <c r="L13" s="25">
        <f>(L12*100)/40</f>
        <v>10.499750000000002</v>
      </c>
      <c r="N13" s="50">
        <v>11</v>
      </c>
      <c r="O13" s="99" t="s">
        <v>117</v>
      </c>
      <c r="P13" s="99"/>
      <c r="Q13" s="99"/>
      <c r="R13" s="100"/>
    </row>
    <row r="14" spans="2:18" x14ac:dyDescent="0.25">
      <c r="B14" s="76" t="s">
        <v>137</v>
      </c>
      <c r="C14" s="77"/>
      <c r="D14" s="77"/>
      <c r="E14" s="24" t="str">
        <f>G28</f>
        <v>conforme</v>
      </c>
      <c r="I14" s="18">
        <f t="shared" ref="I14:I18" si="2">IF(E14="conforme",0,1)</f>
        <v>0</v>
      </c>
      <c r="N14" s="50">
        <v>12</v>
      </c>
      <c r="O14" s="99" t="s">
        <v>118</v>
      </c>
      <c r="P14" s="99"/>
      <c r="Q14" s="99"/>
      <c r="R14" s="100"/>
    </row>
    <row r="15" spans="2:18" x14ac:dyDescent="0.25">
      <c r="B15" s="76" t="s">
        <v>90</v>
      </c>
      <c r="C15" s="77"/>
      <c r="D15" s="77"/>
      <c r="E15" s="10" t="str">
        <f>H29</f>
        <v>conforme</v>
      </c>
      <c r="I15" s="18">
        <f t="shared" si="2"/>
        <v>0</v>
      </c>
      <c r="J15" s="91" t="s">
        <v>103</v>
      </c>
      <c r="K15" s="91"/>
      <c r="L15" s="27">
        <f>(E5+E6+E7)/100</f>
        <v>1</v>
      </c>
      <c r="N15" s="50">
        <v>13</v>
      </c>
      <c r="O15" s="99" t="s">
        <v>119</v>
      </c>
      <c r="P15" s="99"/>
      <c r="Q15" s="99"/>
      <c r="R15" s="100"/>
    </row>
    <row r="16" spans="2:18" x14ac:dyDescent="0.25">
      <c r="B16" s="68" t="s">
        <v>83</v>
      </c>
      <c r="C16" s="69"/>
      <c r="D16" s="69"/>
      <c r="E16" s="10" t="str">
        <f>F30</f>
        <v>conforme</v>
      </c>
      <c r="I16" s="18">
        <f t="shared" si="2"/>
        <v>0</v>
      </c>
      <c r="J16" s="91" t="s">
        <v>104</v>
      </c>
      <c r="K16" s="91"/>
      <c r="L16" s="26">
        <f>(E8)/100</f>
        <v>0</v>
      </c>
      <c r="N16" s="50">
        <v>14</v>
      </c>
      <c r="O16" s="99" t="s">
        <v>120</v>
      </c>
      <c r="P16" s="99"/>
      <c r="Q16" s="99"/>
      <c r="R16" s="100"/>
    </row>
    <row r="17" spans="2:18" ht="15.75" thickBot="1" x14ac:dyDescent="0.3">
      <c r="B17" s="68" t="s">
        <v>91</v>
      </c>
      <c r="C17" s="69"/>
      <c r="D17" s="69"/>
      <c r="E17" s="10" t="str">
        <f>E31</f>
        <v>conforme</v>
      </c>
      <c r="I17" s="18">
        <f t="shared" si="2"/>
        <v>0</v>
      </c>
      <c r="N17" s="51">
        <v>15</v>
      </c>
      <c r="O17" s="95" t="s">
        <v>121</v>
      </c>
      <c r="P17" s="95"/>
      <c r="Q17" s="95"/>
      <c r="R17" s="96"/>
    </row>
    <row r="18" spans="2:18" ht="15.75" thickBot="1" x14ac:dyDescent="0.3">
      <c r="B18" s="70" t="s">
        <v>142</v>
      </c>
      <c r="C18" s="71"/>
      <c r="D18" s="71"/>
      <c r="E18" s="11" t="str">
        <f>E32</f>
        <v>conforme</v>
      </c>
      <c r="I18" s="18">
        <f t="shared" si="2"/>
        <v>0</v>
      </c>
    </row>
    <row r="20" spans="2:18" x14ac:dyDescent="0.25">
      <c r="B20" t="s">
        <v>78</v>
      </c>
    </row>
    <row r="21" spans="2:18" x14ac:dyDescent="0.25">
      <c r="B21" t="s">
        <v>80</v>
      </c>
    </row>
    <row r="22" spans="2:18" x14ac:dyDescent="0.25">
      <c r="B22" t="s">
        <v>79</v>
      </c>
    </row>
    <row r="23" spans="2:18" x14ac:dyDescent="0.25">
      <c r="B23" t="str">
        <f>"* Potentiel calculé sur la base de la règle la plus limitante ("&amp;J12&amp;"), sans préjuger de l'encépagement restant sur l'exploitation."</f>
        <v>* Potentiel calculé sur la base de la règle la plus limitante (Surface Syrah : ), sans préjuger de l'encépagement restant sur l'exploitation.</v>
      </c>
    </row>
    <row r="27" spans="2:18" hidden="1" x14ac:dyDescent="0.25">
      <c r="B27" t="s">
        <v>16</v>
      </c>
      <c r="D27" t="str">
        <f>IF(D10&gt;=2,"conforme","anomalie" )</f>
        <v>conforme</v>
      </c>
    </row>
    <row r="28" spans="2:18" ht="75" hidden="1" x14ac:dyDescent="0.25">
      <c r="B28" s="1" t="s">
        <v>60</v>
      </c>
      <c r="G28" t="str">
        <f>IF(G9&gt;=80,"conforme","anomalie")</f>
        <v>conforme</v>
      </c>
    </row>
    <row r="29" spans="2:18" ht="45" hidden="1" x14ac:dyDescent="0.25">
      <c r="B29" s="1" t="s">
        <v>68</v>
      </c>
      <c r="H29" t="str">
        <f>IF(H9&lt;=20,"conforme","anomalie" )</f>
        <v>conforme</v>
      </c>
    </row>
    <row r="30" spans="2:18" hidden="1" x14ac:dyDescent="0.25">
      <c r="B30" t="s">
        <v>15</v>
      </c>
      <c r="F30" t="str">
        <f>IF(F10&lt;=70,"conforme","anomalie")</f>
        <v>conforme</v>
      </c>
    </row>
    <row r="31" spans="2:18" hidden="1" x14ac:dyDescent="0.25">
      <c r="B31" t="s">
        <v>27</v>
      </c>
      <c r="E31" t="str">
        <f>IF(E5&lt;=60,"conforme","anomalie" )</f>
        <v>conforme</v>
      </c>
    </row>
    <row r="32" spans="2:18" hidden="1" x14ac:dyDescent="0.25">
      <c r="B32" t="s">
        <v>35</v>
      </c>
      <c r="E32" t="str">
        <f>IF(E7&gt;=40,"conforme","anomalie" )</f>
        <v>conforme</v>
      </c>
    </row>
    <row r="33" hidden="1" x14ac:dyDescent="0.25"/>
  </sheetData>
  <sheetProtection algorithmName="SHA-512" hashValue="EgXDM/gXdLJo6o1kCDkHo0vXGfRLv/pYJh/Vzisui1q7FEURH/6dl+cv1Fgx/OxN8MMo/wemWZyfhs8e+x3rdA==" saltValue="1qE9S+layyedBG8OrawuBQ==" spinCount="100000" sheet="1" objects="1" scenarios="1"/>
  <mergeCells count="31">
    <mergeCell ref="O17:R17"/>
    <mergeCell ref="O12:R12"/>
    <mergeCell ref="O13:R13"/>
    <mergeCell ref="O14:R14"/>
    <mergeCell ref="O15:R15"/>
    <mergeCell ref="O16:R16"/>
    <mergeCell ref="O7:R7"/>
    <mergeCell ref="O8:R8"/>
    <mergeCell ref="O9:R9"/>
    <mergeCell ref="O10:R10"/>
    <mergeCell ref="O11:R11"/>
    <mergeCell ref="N2:R2"/>
    <mergeCell ref="O3:R3"/>
    <mergeCell ref="O4:R4"/>
    <mergeCell ref="O5:R5"/>
    <mergeCell ref="O6:R6"/>
    <mergeCell ref="B18:D18"/>
    <mergeCell ref="J3:K3"/>
    <mergeCell ref="B9:C9"/>
    <mergeCell ref="J5:K9"/>
    <mergeCell ref="J13:K13"/>
    <mergeCell ref="J15:K15"/>
    <mergeCell ref="J16:K16"/>
    <mergeCell ref="J12:K12"/>
    <mergeCell ref="B2:E3"/>
    <mergeCell ref="B12:E12"/>
    <mergeCell ref="B13:D13"/>
    <mergeCell ref="B14:D14"/>
    <mergeCell ref="B15:D15"/>
    <mergeCell ref="B16:D16"/>
    <mergeCell ref="B17:D17"/>
  </mergeCells>
  <conditionalFormatting sqref="D27">
    <cfRule type="containsText" dxfId="145" priority="31" operator="containsText" text="OK">
      <formula>NOT(ISERROR(SEARCH("OK",D27)))</formula>
    </cfRule>
    <cfRule type="containsText" dxfId="144" priority="32" operator="containsText" text="Non conforme">
      <formula>NOT(ISERROR(SEARCH("Non conforme",D27)))</formula>
    </cfRule>
  </conditionalFormatting>
  <conditionalFormatting sqref="G28:G30">
    <cfRule type="containsText" dxfId="143" priority="29" operator="containsText" text="OK">
      <formula>NOT(ISERROR(SEARCH("OK",G28)))</formula>
    </cfRule>
    <cfRule type="containsText" dxfId="142" priority="30" operator="containsText" text="Non conforme">
      <formula>NOT(ISERROR(SEARCH("Non conforme",G28)))</formula>
    </cfRule>
  </conditionalFormatting>
  <conditionalFormatting sqref="E31:F32">
    <cfRule type="containsText" dxfId="141" priority="27" operator="containsText" text="OK">
      <formula>NOT(ISERROR(SEARCH("OK",E31)))</formula>
    </cfRule>
    <cfRule type="containsText" dxfId="140" priority="28" operator="containsText" text="Non conforme">
      <formula>NOT(ISERROR(SEARCH("Non conforme",E31)))</formula>
    </cfRule>
  </conditionalFormatting>
  <conditionalFormatting sqref="F30">
    <cfRule type="containsText" dxfId="139" priority="25" operator="containsText" text="OK">
      <formula>NOT(ISERROR(SEARCH("OK",F30)))</formula>
    </cfRule>
    <cfRule type="containsText" dxfId="138" priority="26" operator="containsText" text="Non conforme">
      <formula>NOT(ISERROR(SEARCH("Non conforme",F30)))</formula>
    </cfRule>
  </conditionalFormatting>
  <conditionalFormatting sqref="H29:I29">
    <cfRule type="containsText" dxfId="137" priority="23" operator="containsText" text="OK">
      <formula>NOT(ISERROR(SEARCH("OK",H29)))</formula>
    </cfRule>
    <cfRule type="containsText" dxfId="136" priority="24" operator="containsText" text="Non conforme">
      <formula>NOT(ISERROR(SEARCH("Non conforme",H29)))</formula>
    </cfRule>
  </conditionalFormatting>
  <conditionalFormatting sqref="D27:I32">
    <cfRule type="containsText" dxfId="135" priority="21" operator="containsText" text="anomalie">
      <formula>NOT(ISERROR(SEARCH("anomalie",D27)))</formula>
    </cfRule>
    <cfRule type="containsText" dxfId="134" priority="22" operator="containsText" text="conforme">
      <formula>NOT(ISERROR(SEARCH("conforme",D27)))</formula>
    </cfRule>
  </conditionalFormatting>
  <conditionalFormatting sqref="E13:E16">
    <cfRule type="containsText" dxfId="133" priority="17" operator="containsText" text="anomalie">
      <formula>NOT(ISERROR(SEARCH("anomalie",E13)))</formula>
    </cfRule>
    <cfRule type="containsText" dxfId="132" priority="18" operator="containsText" text="conforme">
      <formula>NOT(ISERROR(SEARCH("conforme",E13)))</formula>
    </cfRule>
    <cfRule type="containsText" dxfId="131" priority="19" operator="containsText" text="OK">
      <formula>NOT(ISERROR(SEARCH("OK",E13)))</formula>
    </cfRule>
    <cfRule type="containsText" dxfId="130" priority="20" operator="containsText" text="Non conforme">
      <formula>NOT(ISERROR(SEARCH("Non conforme",E13)))</formula>
    </cfRule>
  </conditionalFormatting>
  <conditionalFormatting sqref="E17">
    <cfRule type="containsText" dxfId="129" priority="13" operator="containsText" text="anomalie">
      <formula>NOT(ISERROR(SEARCH("anomalie",E17)))</formula>
    </cfRule>
    <cfRule type="containsText" dxfId="128" priority="14" operator="containsText" text="conforme">
      <formula>NOT(ISERROR(SEARCH("conforme",E17)))</formula>
    </cfRule>
    <cfRule type="containsText" dxfId="127" priority="15" operator="containsText" text="OK">
      <formula>NOT(ISERROR(SEARCH("OK",E17)))</formula>
    </cfRule>
    <cfRule type="containsText" dxfId="126" priority="16" operator="containsText" text="Non conforme">
      <formula>NOT(ISERROR(SEARCH("Non conforme",E17)))</formula>
    </cfRule>
  </conditionalFormatting>
  <conditionalFormatting sqref="E18">
    <cfRule type="containsText" dxfId="125" priority="9" operator="containsText" text="anomalie">
      <formula>NOT(ISERROR(SEARCH("anomalie",E18)))</formula>
    </cfRule>
    <cfRule type="containsText" dxfId="124" priority="10" operator="containsText" text="conforme">
      <formula>NOT(ISERROR(SEARCH("conforme",E18)))</formula>
    </cfRule>
    <cfRule type="containsText" dxfId="123" priority="11" operator="containsText" text="OK">
      <formula>NOT(ISERROR(SEARCH("OK",E18)))</formula>
    </cfRule>
    <cfRule type="containsText" dxfId="122" priority="12" operator="containsText" text="Non conforme">
      <formula>NOT(ISERROR(SEARCH("Non conforme",E18)))</formula>
    </cfRule>
  </conditionalFormatting>
  <conditionalFormatting sqref="J5:K9">
    <cfRule type="expression" dxfId="121" priority="1">
      <formula>$I$12&gt;0</formula>
    </cfRule>
    <cfRule type="expression" dxfId="120" priority="2">
      <formula>$I$12=0</formula>
    </cfRule>
  </conditionalFormatting>
  <hyperlinks>
    <hyperlink ref="J3" location="'Outil contrôle encépagement'!A1" display="Retour à l'accueil" xr:uid="{7F5496DC-BD91-4B98-A413-A4AD270FE607}"/>
    <hyperlink ref="O3" location="'CR Rouge'!A1" display="Côtes du Roussillon Rouge" xr:uid="{51C7FFF0-9D11-400B-AE0C-3A4A51B73277}"/>
    <hyperlink ref="O4" location="'CR Rosé'!A1" display="Côtes du Roussillon Rosé" xr:uid="{526095A5-EF38-4F26-A2F7-FD263829531A}"/>
    <hyperlink ref="O5" location="'CR Blanc'!A1" display="Côtes du Roussillon Blanc" xr:uid="{07E5BEDD-CA1B-4B4C-A2B8-15C1D944EB01}"/>
    <hyperlink ref="O6:R6" location="'CR Villages'!A1" display="Côtes du Roussillon Villages" xr:uid="{5CD2D20A-260E-4198-9D0F-01EA4FA18E1C}"/>
    <hyperlink ref="O7:R7" location="'CR Villages Les Aspres'!A1" display="Côtes du Roussillon Villages Les Aspres" xr:uid="{6CC28D7E-2032-4CD6-804E-B5C889F0D58D}"/>
    <hyperlink ref="O8:R8" location="'CRV LATOUR DE FRANCE'!A1" display="Côtes du Roussillon Villages Latour de France" xr:uid="{5850022F-EDAB-4205-A3EF-DC394FB6069F}"/>
    <hyperlink ref="O9:R9" location="'CRV CARAMANY'!A1" display="Côtes du Roussillon Villages Caramany" xr:uid="{22FA1559-9D0A-41DC-8867-D5797BF48DC6}"/>
    <hyperlink ref="O10:R10" location="'CRV LESQUERDE'!A1" display="Côtes du Roussillon Villages Lesquerde" xr:uid="{BD6D92BA-A2FF-4B44-813F-8F209BBF438F}"/>
    <hyperlink ref="O11:R11" location="'CRV TAUTAVEL'!A1" display="Côtes du Roussillon Villages Tautavel" xr:uid="{E88EC890-E761-4580-8944-D0D56A44B4FC}"/>
    <hyperlink ref="O12:R12" location="'MAURY SEC'!A1" display="Maury Sec" xr:uid="{6D824142-6300-4ADA-88B9-65B7271A1CDF}"/>
    <hyperlink ref="O13:R13" location="'MAURY Grenat ou Tuilé'!A1" display="Maury Grenat ou tuilé" xr:uid="{19560156-49F0-4EFA-9032-87618931D92D}"/>
    <hyperlink ref="O14:R14" location="'MAURY Ambré ou Blanc'!A1" display="Maury Ambré ou Blanc" xr:uid="{916C59F6-B012-4921-B479-1A754FC01C12}"/>
    <hyperlink ref="O15:R15" location="'Muscat de Riv.'!A1" display="Muscat de Rivesaltes" xr:uid="{BB51C10D-B2E6-4445-B736-0E6F8122F18D}"/>
    <hyperlink ref="O16:R16" location="'Rivesaltes Ambré, Rosé ou Tuilé'!A1" display="Rivesaltes Ambé, Rosé ou Tuilé" xr:uid="{307726AE-7774-4926-BE6B-2E152154D941}"/>
    <hyperlink ref="O17:R17" location="'Rivesaltes Grenat'!A1" display="Rivesaltes Grenat" xr:uid="{3F9A4615-E3C9-4CBA-8C47-0E3DA12A05F6}"/>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33"/>
  <sheetViews>
    <sheetView showGridLines="0" showRowColHeaders="0" zoomScale="115" zoomScaleNormal="115" workbookViewId="0">
      <selection activeCell="O8" sqref="O8:R8"/>
    </sheetView>
  </sheetViews>
  <sheetFormatPr baseColWidth="10" defaultRowHeight="15" x14ac:dyDescent="0.25"/>
  <cols>
    <col min="2" max="2" width="18.7109375" customWidth="1"/>
    <col min="3" max="3" width="13.28515625" customWidth="1"/>
    <col min="6" max="8" width="0" hidden="1" customWidth="1"/>
    <col min="9" max="9" width="6" customWidth="1"/>
    <col min="14" max="14" width="3.42578125" bestFit="1" customWidth="1"/>
    <col min="15" max="15" width="8.85546875" customWidth="1"/>
    <col min="16" max="16" width="10" customWidth="1"/>
    <col min="17" max="17" width="10.7109375" customWidth="1"/>
    <col min="18" max="18" width="6.5703125" customWidth="1"/>
  </cols>
  <sheetData>
    <row r="1" spans="2:18" ht="15.75" thickBot="1" x14ac:dyDescent="0.3"/>
    <row r="2" spans="2:18" ht="18.75" x14ac:dyDescent="0.3">
      <c r="B2" s="74" t="s">
        <v>143</v>
      </c>
      <c r="C2" s="74"/>
      <c r="D2" s="74"/>
      <c r="E2" s="74"/>
      <c r="N2" s="92" t="s">
        <v>170</v>
      </c>
      <c r="O2" s="93"/>
      <c r="P2" s="93"/>
      <c r="Q2" s="93"/>
      <c r="R2" s="94"/>
    </row>
    <row r="3" spans="2:18" ht="18.75" x14ac:dyDescent="0.25">
      <c r="B3" s="75"/>
      <c r="C3" s="75"/>
      <c r="D3" s="75"/>
      <c r="E3" s="75"/>
      <c r="J3" s="72" t="s">
        <v>122</v>
      </c>
      <c r="K3" s="73"/>
      <c r="N3" s="50">
        <v>1</v>
      </c>
      <c r="O3" s="97" t="s">
        <v>107</v>
      </c>
      <c r="P3" s="97"/>
      <c r="Q3" s="97"/>
      <c r="R3" s="98"/>
    </row>
    <row r="4" spans="2:18" ht="33" customHeight="1" thickBot="1" x14ac:dyDescent="0.3">
      <c r="B4" s="15" t="s">
        <v>7</v>
      </c>
      <c r="C4" s="16" t="s">
        <v>100</v>
      </c>
      <c r="D4" s="15" t="s">
        <v>8</v>
      </c>
      <c r="E4" s="15" t="s">
        <v>9</v>
      </c>
      <c r="F4" t="s">
        <v>43</v>
      </c>
      <c r="G4" s="1" t="s">
        <v>13</v>
      </c>
      <c r="H4" s="1" t="s">
        <v>14</v>
      </c>
      <c r="N4" s="50">
        <v>2</v>
      </c>
      <c r="O4" s="97" t="s">
        <v>109</v>
      </c>
      <c r="P4" s="97"/>
      <c r="Q4" s="97"/>
      <c r="R4" s="98"/>
    </row>
    <row r="5" spans="2:18" x14ac:dyDescent="0.25">
      <c r="B5" s="36" t="s">
        <v>0</v>
      </c>
      <c r="C5" s="5" t="s">
        <v>11</v>
      </c>
      <c r="D5" s="14">
        <v>0</v>
      </c>
      <c r="E5" s="8">
        <f>D5*100/D9</f>
        <v>0</v>
      </c>
      <c r="F5" s="4">
        <f>ROUND(E5,2)</f>
        <v>0</v>
      </c>
      <c r="G5">
        <f>IF(C5="P",F5,0)</f>
        <v>0</v>
      </c>
      <c r="H5">
        <f>IF(C5="A",E5,0)</f>
        <v>0</v>
      </c>
      <c r="J5" s="83" t="str">
        <f>IF(I12=0,"Encépagement conforme aux règles du Cahier des Charges","Encépagement NON conforme aux règles du Cahier des Charges")</f>
        <v>Encépagement conforme aux règles du Cahier des Charges</v>
      </c>
      <c r="K5" s="84"/>
      <c r="N5" s="50">
        <v>3</v>
      </c>
      <c r="O5" s="97" t="s">
        <v>110</v>
      </c>
      <c r="P5" s="97"/>
      <c r="Q5" s="97"/>
      <c r="R5" s="98"/>
    </row>
    <row r="6" spans="2:18" x14ac:dyDescent="0.25">
      <c r="B6" s="36" t="s">
        <v>1</v>
      </c>
      <c r="C6" s="5" t="s">
        <v>11</v>
      </c>
      <c r="D6" s="14">
        <v>0.82399999999999995</v>
      </c>
      <c r="E6" s="8">
        <f>D6*100/D9</f>
        <v>12.866355417453898</v>
      </c>
      <c r="F6" s="4">
        <f>ROUND(E6,2)</f>
        <v>12.87</v>
      </c>
      <c r="G6">
        <f t="shared" ref="G6:G8" si="0">IF(C6="P",F6,0)</f>
        <v>12.87</v>
      </c>
      <c r="H6">
        <f>IF(C6="A",E6,0)</f>
        <v>0</v>
      </c>
      <c r="J6" s="85"/>
      <c r="K6" s="86"/>
      <c r="N6" s="50">
        <v>4</v>
      </c>
      <c r="O6" s="99" t="s">
        <v>108</v>
      </c>
      <c r="P6" s="99"/>
      <c r="Q6" s="99"/>
      <c r="R6" s="100"/>
    </row>
    <row r="7" spans="2:18" x14ac:dyDescent="0.25">
      <c r="B7" s="36" t="s">
        <v>3</v>
      </c>
      <c r="C7" s="5" t="s">
        <v>11</v>
      </c>
      <c r="D7" s="14">
        <f>5.7311-1.1688-0.08</f>
        <v>4.4822999999999995</v>
      </c>
      <c r="E7" s="8">
        <f>D7*100/D9</f>
        <v>69.988913698608755</v>
      </c>
      <c r="F7" s="4">
        <f t="shared" ref="F7:F8" si="1">ROUND(E7,2)</f>
        <v>69.989999999999995</v>
      </c>
      <c r="G7">
        <f t="shared" si="0"/>
        <v>69.989999999999995</v>
      </c>
      <c r="H7">
        <f>IF(C7="A",E7,0)</f>
        <v>0</v>
      </c>
      <c r="J7" s="85"/>
      <c r="K7" s="86"/>
      <c r="N7" s="50">
        <v>5</v>
      </c>
      <c r="O7" s="99" t="s">
        <v>111</v>
      </c>
      <c r="P7" s="99"/>
      <c r="Q7" s="99"/>
      <c r="R7" s="100"/>
    </row>
    <row r="8" spans="2:18" x14ac:dyDescent="0.25">
      <c r="B8" s="36" t="s">
        <v>5</v>
      </c>
      <c r="C8" s="5" t="s">
        <v>12</v>
      </c>
      <c r="D8" s="14">
        <v>1.0980000000000001</v>
      </c>
      <c r="E8" s="8">
        <f>D8*100/D9</f>
        <v>17.14473088393736</v>
      </c>
      <c r="F8" s="4">
        <f t="shared" si="1"/>
        <v>17.14</v>
      </c>
      <c r="G8">
        <f t="shared" si="0"/>
        <v>0</v>
      </c>
      <c r="H8">
        <f>IF(C8="A",E8,0)</f>
        <v>17.14473088393736</v>
      </c>
      <c r="J8" s="85"/>
      <c r="K8" s="86"/>
      <c r="N8" s="50">
        <v>6</v>
      </c>
      <c r="O8" s="99" t="s">
        <v>112</v>
      </c>
      <c r="P8" s="99"/>
      <c r="Q8" s="99"/>
      <c r="R8" s="100"/>
    </row>
    <row r="9" spans="2:18" ht="15.75" thickBot="1" x14ac:dyDescent="0.3">
      <c r="B9" s="81" t="s">
        <v>10</v>
      </c>
      <c r="C9" s="82"/>
      <c r="D9" s="12">
        <f>SUM(D5:D8)</f>
        <v>6.4042999999999992</v>
      </c>
      <c r="E9" s="20">
        <f>SUM(E5:E8)</f>
        <v>100.00000000000001</v>
      </c>
      <c r="F9">
        <f>SUM(F5:F8)</f>
        <v>100</v>
      </c>
      <c r="G9">
        <f>SUM(G5:G8)</f>
        <v>82.86</v>
      </c>
      <c r="H9">
        <f>SUM(H5:H8)</f>
        <v>17.14473088393736</v>
      </c>
      <c r="J9" s="87"/>
      <c r="K9" s="88"/>
      <c r="N9" s="50">
        <v>7</v>
      </c>
      <c r="O9" s="99" t="s">
        <v>113</v>
      </c>
      <c r="P9" s="99"/>
      <c r="Q9" s="99"/>
      <c r="R9" s="100"/>
    </row>
    <row r="10" spans="2:18" x14ac:dyDescent="0.25">
      <c r="D10" s="38">
        <f>COUNT(D5:D8)</f>
        <v>4</v>
      </c>
      <c r="F10">
        <f>MAX(F5:F8)</f>
        <v>69.989999999999995</v>
      </c>
      <c r="N10" s="50">
        <v>8</v>
      </c>
      <c r="O10" s="99" t="s">
        <v>114</v>
      </c>
      <c r="P10" s="99"/>
      <c r="Q10" s="99"/>
      <c r="R10" s="100"/>
    </row>
    <row r="11" spans="2:18" ht="15.75" thickBot="1" x14ac:dyDescent="0.3">
      <c r="N11" s="50">
        <v>9</v>
      </c>
      <c r="O11" s="99" t="s">
        <v>115</v>
      </c>
      <c r="P11" s="99"/>
      <c r="Q11" s="99"/>
      <c r="R11" s="100"/>
    </row>
    <row r="12" spans="2:18" ht="16.5" thickBot="1" x14ac:dyDescent="0.3">
      <c r="B12" s="78" t="s">
        <v>71</v>
      </c>
      <c r="C12" s="79"/>
      <c r="D12" s="79"/>
      <c r="E12" s="80"/>
      <c r="I12" s="38">
        <f>SUM(I13:I18)</f>
        <v>0</v>
      </c>
      <c r="J12" s="91" t="s">
        <v>139</v>
      </c>
      <c r="K12" s="91"/>
      <c r="L12" s="25">
        <f>D7</f>
        <v>4.4822999999999995</v>
      </c>
      <c r="N12" s="50">
        <v>10</v>
      </c>
      <c r="O12" s="99" t="s">
        <v>116</v>
      </c>
      <c r="P12" s="99"/>
      <c r="Q12" s="99"/>
      <c r="R12" s="100"/>
    </row>
    <row r="13" spans="2:18" x14ac:dyDescent="0.25">
      <c r="B13" s="101" t="s">
        <v>93</v>
      </c>
      <c r="C13" s="102"/>
      <c r="D13" s="102"/>
      <c r="E13" s="19" t="str">
        <f>D28</f>
        <v>conforme</v>
      </c>
      <c r="I13" s="18">
        <f>IF(E13="conforme",0,1)</f>
        <v>0</v>
      </c>
      <c r="J13" s="91" t="s">
        <v>138</v>
      </c>
      <c r="K13" s="91"/>
      <c r="L13" s="25">
        <f>(L12*100)/30</f>
        <v>14.940999999999999</v>
      </c>
      <c r="N13" s="50">
        <v>11</v>
      </c>
      <c r="O13" s="99" t="s">
        <v>117</v>
      </c>
      <c r="P13" s="99"/>
      <c r="Q13" s="99"/>
      <c r="R13" s="100"/>
    </row>
    <row r="14" spans="2:18" ht="29.25" customHeight="1" x14ac:dyDescent="0.25">
      <c r="B14" s="76" t="s">
        <v>137</v>
      </c>
      <c r="C14" s="77"/>
      <c r="D14" s="77"/>
      <c r="E14" s="24" t="str">
        <f>G29</f>
        <v>conforme</v>
      </c>
      <c r="I14" s="18">
        <f t="shared" ref="I14:I18" si="2">IF(E14="conforme",0,1)</f>
        <v>0</v>
      </c>
      <c r="N14" s="50">
        <v>12</v>
      </c>
      <c r="O14" s="99" t="s">
        <v>118</v>
      </c>
      <c r="P14" s="99"/>
      <c r="Q14" s="99"/>
      <c r="R14" s="100"/>
    </row>
    <row r="15" spans="2:18" x14ac:dyDescent="0.25">
      <c r="B15" s="76" t="s">
        <v>90</v>
      </c>
      <c r="C15" s="77"/>
      <c r="D15" s="77"/>
      <c r="E15" s="10" t="str">
        <f>H30</f>
        <v>conforme</v>
      </c>
      <c r="I15" s="18">
        <f t="shared" si="2"/>
        <v>0</v>
      </c>
      <c r="J15" s="91" t="s">
        <v>103</v>
      </c>
      <c r="K15" s="91"/>
      <c r="L15" s="27">
        <f>(E5+E6+E7)/100</f>
        <v>0.82855269116062658</v>
      </c>
      <c r="N15" s="50">
        <v>13</v>
      </c>
      <c r="O15" s="99" t="s">
        <v>119</v>
      </c>
      <c r="P15" s="99"/>
      <c r="Q15" s="99"/>
      <c r="R15" s="100"/>
    </row>
    <row r="16" spans="2:18" x14ac:dyDescent="0.25">
      <c r="B16" s="68" t="s">
        <v>83</v>
      </c>
      <c r="C16" s="69"/>
      <c r="D16" s="69"/>
      <c r="E16" s="10" t="str">
        <f>F31</f>
        <v>conforme</v>
      </c>
      <c r="I16" s="18">
        <f t="shared" si="2"/>
        <v>0</v>
      </c>
      <c r="J16" s="91" t="s">
        <v>104</v>
      </c>
      <c r="K16" s="91"/>
      <c r="L16" s="26">
        <f>(E8)/100</f>
        <v>0.17144730883937359</v>
      </c>
      <c r="N16" s="50">
        <v>14</v>
      </c>
      <c r="O16" s="99" t="s">
        <v>120</v>
      </c>
      <c r="P16" s="99"/>
      <c r="Q16" s="99"/>
      <c r="R16" s="100"/>
    </row>
    <row r="17" spans="2:18" ht="15.75" thickBot="1" x14ac:dyDescent="0.3">
      <c r="B17" s="68" t="s">
        <v>91</v>
      </c>
      <c r="C17" s="69"/>
      <c r="D17" s="69"/>
      <c r="E17" s="10" t="str">
        <f>E32</f>
        <v>conforme</v>
      </c>
      <c r="I17" s="18">
        <f t="shared" si="2"/>
        <v>0</v>
      </c>
      <c r="N17" s="51">
        <v>15</v>
      </c>
      <c r="O17" s="95" t="s">
        <v>121</v>
      </c>
      <c r="P17" s="95"/>
      <c r="Q17" s="95"/>
      <c r="R17" s="96"/>
    </row>
    <row r="18" spans="2:18" ht="15.75" thickBot="1" x14ac:dyDescent="0.3">
      <c r="B18" s="70" t="s">
        <v>144</v>
      </c>
      <c r="C18" s="71"/>
      <c r="D18" s="71"/>
      <c r="E18" s="11" t="str">
        <f>E33</f>
        <v>conforme</v>
      </c>
      <c r="I18" s="18">
        <f t="shared" si="2"/>
        <v>0</v>
      </c>
    </row>
    <row r="20" spans="2:18" x14ac:dyDescent="0.25">
      <c r="B20" t="s">
        <v>78</v>
      </c>
    </row>
    <row r="21" spans="2:18" x14ac:dyDescent="0.25">
      <c r="B21" t="s">
        <v>80</v>
      </c>
    </row>
    <row r="22" spans="2:18" x14ac:dyDescent="0.25">
      <c r="B22" t="s">
        <v>79</v>
      </c>
    </row>
    <row r="23" spans="2:18" x14ac:dyDescent="0.25">
      <c r="B23" t="str">
        <f>"* Potentiel calculé sur la base de la règle la plus limitante ("&amp;J12&amp;"), sans préjuger de l'encépagement restant sur l'exploitation."</f>
        <v>* Potentiel calculé sur la base de la règle la plus limitante (Surface Syrah : ), sans préjuger de l'encépagement restant sur l'exploitation.</v>
      </c>
    </row>
    <row r="28" spans="2:18" hidden="1" x14ac:dyDescent="0.25">
      <c r="B28" t="s">
        <v>16</v>
      </c>
      <c r="D28" t="str">
        <f>IF(D10&gt;=2,"conforme","anomalie" )</f>
        <v>conforme</v>
      </c>
    </row>
    <row r="29" spans="2:18" ht="36.75" hidden="1" customHeight="1" x14ac:dyDescent="0.25">
      <c r="B29" s="1" t="s">
        <v>61</v>
      </c>
      <c r="G29" t="str">
        <f>IF(G9&gt;=80,"conforme","anomalie")</f>
        <v>conforme</v>
      </c>
    </row>
    <row r="30" spans="2:18" ht="36.75" hidden="1" customHeight="1" x14ac:dyDescent="0.25">
      <c r="B30" s="1" t="s">
        <v>68</v>
      </c>
      <c r="H30" t="str">
        <f>IF(H9&lt;=20,"conforme","anomalie" )</f>
        <v>conforme</v>
      </c>
    </row>
    <row r="31" spans="2:18" hidden="1" x14ac:dyDescent="0.25">
      <c r="B31" t="s">
        <v>15</v>
      </c>
      <c r="F31" t="str">
        <f>IF(F10&lt;=70,"conforme","anomalie")</f>
        <v>conforme</v>
      </c>
    </row>
    <row r="32" spans="2:18" hidden="1" x14ac:dyDescent="0.25">
      <c r="B32" t="s">
        <v>27</v>
      </c>
      <c r="E32" t="str">
        <f>IF(E5&lt;=60,"conforme","anomalie" )</f>
        <v>conforme</v>
      </c>
    </row>
    <row r="33" spans="2:5" hidden="1" x14ac:dyDescent="0.25">
      <c r="B33" t="s">
        <v>36</v>
      </c>
      <c r="E33" t="str">
        <f>IF(E7&gt;=30,"conforme","anomalie" )</f>
        <v>conforme</v>
      </c>
    </row>
  </sheetData>
  <sheetProtection algorithmName="SHA-512" hashValue="RrjQrAcZMImz8NXwsuWTEDsytEQ6Wfi9fpEt/s7Cch3VmEyZt5IqLJhWuP4bmvlYXQxjsUyw97eShtdQ97RAlw==" saltValue="mAJVo/kUT2vMCsnrHsOpLA==" spinCount="100000" sheet="1" objects="1" scenarios="1"/>
  <mergeCells count="31">
    <mergeCell ref="O17:R17"/>
    <mergeCell ref="O12:R12"/>
    <mergeCell ref="O13:R13"/>
    <mergeCell ref="O14:R14"/>
    <mergeCell ref="O15:R15"/>
    <mergeCell ref="O16:R16"/>
    <mergeCell ref="O7:R7"/>
    <mergeCell ref="O8:R8"/>
    <mergeCell ref="O9:R9"/>
    <mergeCell ref="O10:R10"/>
    <mergeCell ref="O11:R11"/>
    <mergeCell ref="N2:R2"/>
    <mergeCell ref="O3:R3"/>
    <mergeCell ref="O4:R4"/>
    <mergeCell ref="O5:R5"/>
    <mergeCell ref="O6:R6"/>
    <mergeCell ref="B18:D18"/>
    <mergeCell ref="B9:C9"/>
    <mergeCell ref="B2:E3"/>
    <mergeCell ref="J3:K3"/>
    <mergeCell ref="J5:K9"/>
    <mergeCell ref="J12:K12"/>
    <mergeCell ref="J13:K13"/>
    <mergeCell ref="J15:K15"/>
    <mergeCell ref="J16:K16"/>
    <mergeCell ref="B12:E12"/>
    <mergeCell ref="B13:D13"/>
    <mergeCell ref="B14:D14"/>
    <mergeCell ref="B15:D15"/>
    <mergeCell ref="B16:D16"/>
    <mergeCell ref="B17:D17"/>
  </mergeCells>
  <conditionalFormatting sqref="D28">
    <cfRule type="containsText" dxfId="119" priority="25" operator="containsText" text="OK">
      <formula>NOT(ISERROR(SEARCH("OK",D28)))</formula>
    </cfRule>
    <cfRule type="containsText" dxfId="118" priority="26" operator="containsText" text="Non conforme">
      <formula>NOT(ISERROR(SEARCH("Non conforme",D28)))</formula>
    </cfRule>
  </conditionalFormatting>
  <conditionalFormatting sqref="G29:G31">
    <cfRule type="containsText" dxfId="117" priority="23" operator="containsText" text="OK">
      <formula>NOT(ISERROR(SEARCH("OK",G29)))</formula>
    </cfRule>
    <cfRule type="containsText" dxfId="116" priority="24" operator="containsText" text="Non conforme">
      <formula>NOT(ISERROR(SEARCH("Non conforme",G29)))</formula>
    </cfRule>
  </conditionalFormatting>
  <conditionalFormatting sqref="E32:F33">
    <cfRule type="containsText" dxfId="115" priority="21" operator="containsText" text="OK">
      <formula>NOT(ISERROR(SEARCH("OK",E32)))</formula>
    </cfRule>
    <cfRule type="containsText" dxfId="114" priority="22" operator="containsText" text="Non conforme">
      <formula>NOT(ISERROR(SEARCH("Non conforme",E32)))</formula>
    </cfRule>
  </conditionalFormatting>
  <conditionalFormatting sqref="F31">
    <cfRule type="containsText" dxfId="113" priority="19" operator="containsText" text="OK">
      <formula>NOT(ISERROR(SEARCH("OK",F31)))</formula>
    </cfRule>
    <cfRule type="containsText" dxfId="112" priority="20" operator="containsText" text="Non conforme">
      <formula>NOT(ISERROR(SEARCH("Non conforme",F31)))</formula>
    </cfRule>
  </conditionalFormatting>
  <conditionalFormatting sqref="H30">
    <cfRule type="containsText" dxfId="111" priority="17" operator="containsText" text="OK">
      <formula>NOT(ISERROR(SEARCH("OK",H30)))</formula>
    </cfRule>
    <cfRule type="containsText" dxfId="110" priority="18" operator="containsText" text="Non conforme">
      <formula>NOT(ISERROR(SEARCH("Non conforme",H30)))</formula>
    </cfRule>
  </conditionalFormatting>
  <conditionalFormatting sqref="D28:H33">
    <cfRule type="containsText" dxfId="109" priority="15" operator="containsText" text="anomalie">
      <formula>NOT(ISERROR(SEARCH("anomalie",D28)))</formula>
    </cfRule>
    <cfRule type="containsText" dxfId="108" priority="16" operator="containsText" text="conforme">
      <formula>NOT(ISERROR(SEARCH("conforme",D28)))</formula>
    </cfRule>
  </conditionalFormatting>
  <conditionalFormatting sqref="E13:E16">
    <cfRule type="containsText" dxfId="107" priority="11" operator="containsText" text="anomalie">
      <formula>NOT(ISERROR(SEARCH("anomalie",E13)))</formula>
    </cfRule>
    <cfRule type="containsText" dxfId="106" priority="12" operator="containsText" text="conforme">
      <formula>NOT(ISERROR(SEARCH("conforme",E13)))</formula>
    </cfRule>
    <cfRule type="containsText" dxfId="105" priority="13" operator="containsText" text="OK">
      <formula>NOT(ISERROR(SEARCH("OK",E13)))</formula>
    </cfRule>
    <cfRule type="containsText" dxfId="104" priority="14" operator="containsText" text="Non conforme">
      <formula>NOT(ISERROR(SEARCH("Non conforme",E13)))</formula>
    </cfRule>
  </conditionalFormatting>
  <conditionalFormatting sqref="E17">
    <cfRule type="containsText" dxfId="103" priority="7" operator="containsText" text="anomalie">
      <formula>NOT(ISERROR(SEARCH("anomalie",E17)))</formula>
    </cfRule>
    <cfRule type="containsText" dxfId="102" priority="8" operator="containsText" text="conforme">
      <formula>NOT(ISERROR(SEARCH("conforme",E17)))</formula>
    </cfRule>
    <cfRule type="containsText" dxfId="101" priority="9" operator="containsText" text="OK">
      <formula>NOT(ISERROR(SEARCH("OK",E17)))</formula>
    </cfRule>
    <cfRule type="containsText" dxfId="100" priority="10" operator="containsText" text="Non conforme">
      <formula>NOT(ISERROR(SEARCH("Non conforme",E17)))</formula>
    </cfRule>
  </conditionalFormatting>
  <conditionalFormatting sqref="E18">
    <cfRule type="containsText" dxfId="99" priority="3" operator="containsText" text="anomalie">
      <formula>NOT(ISERROR(SEARCH("anomalie",E18)))</formula>
    </cfRule>
    <cfRule type="containsText" dxfId="98" priority="4" operator="containsText" text="conforme">
      <formula>NOT(ISERROR(SEARCH("conforme",E18)))</formula>
    </cfRule>
    <cfRule type="containsText" dxfId="97" priority="5" operator="containsText" text="OK">
      <formula>NOT(ISERROR(SEARCH("OK",E18)))</formula>
    </cfRule>
    <cfRule type="containsText" dxfId="96" priority="6" operator="containsText" text="Non conforme">
      <formula>NOT(ISERROR(SEARCH("Non conforme",E18)))</formula>
    </cfRule>
  </conditionalFormatting>
  <conditionalFormatting sqref="J5:K9">
    <cfRule type="expression" dxfId="95" priority="1">
      <formula>$I$12&gt;0</formula>
    </cfRule>
    <cfRule type="expression" dxfId="94" priority="2">
      <formula>$I$12=0</formula>
    </cfRule>
  </conditionalFormatting>
  <hyperlinks>
    <hyperlink ref="J3" location="'Outil contrôle encépagement'!A1" display="Retour à l'accueil" xr:uid="{64ED745C-44D2-4C46-8329-0AD4D22E2274}"/>
    <hyperlink ref="O3" location="'CR Rouge'!A1" display="Côtes du Roussillon Rouge" xr:uid="{9A437DDB-276C-4EBD-AAF5-6481CF076571}"/>
    <hyperlink ref="O4" location="'CR Rosé'!A1" display="Côtes du Roussillon Rosé" xr:uid="{1F2CCE9F-718F-49CB-A987-7B5FB770EBA7}"/>
    <hyperlink ref="O5" location="'CR Blanc'!A1" display="Côtes du Roussillon Blanc" xr:uid="{94DB06E3-7AC9-41B5-8CF6-E7A324DE89F4}"/>
    <hyperlink ref="O6:R6" location="'CR Villages'!A1" display="Côtes du Roussillon Villages" xr:uid="{003C2719-18A2-41BC-9865-1FCCD4AC1532}"/>
    <hyperlink ref="O7:R7" location="'CR Villages Les Aspres'!A1" display="Côtes du Roussillon Villages Les Aspres" xr:uid="{96F0C9EC-B6A4-4D09-A3EF-094E75C9CFA5}"/>
    <hyperlink ref="O8:R8" location="'CRV LATOUR DE FRANCE'!A1" display="Côtes du Roussillon Villages Latour de France" xr:uid="{BC4F5E42-65DC-46A5-8A75-51876E12C55C}"/>
    <hyperlink ref="O9:R9" location="'CRV CARAMANY'!A1" display="Côtes du Roussillon Villages Caramany" xr:uid="{88BAF256-84C9-4BEF-877F-919AFEA2881F}"/>
    <hyperlink ref="O10:R10" location="'CRV LESQUERDE'!A1" display="Côtes du Roussillon Villages Lesquerde" xr:uid="{6C49D2BE-C339-4D8A-B48C-613732C23D0C}"/>
    <hyperlink ref="O11:R11" location="'CRV TAUTAVEL'!A1" display="Côtes du Roussillon Villages Tautavel" xr:uid="{D01E7B81-5452-4C3E-B652-E56E9053A71F}"/>
    <hyperlink ref="O12:R12" location="'MAURY SEC'!A1" display="Maury Sec" xr:uid="{32917D6C-F525-4EEE-B663-95CE722C355E}"/>
    <hyperlink ref="O13:R13" location="'MAURY Grenat ou Tuilé'!A1" display="Maury Grenat ou tuilé" xr:uid="{DDCAA586-1C86-41B1-BCC2-CFA8D6E8979C}"/>
    <hyperlink ref="O14:R14" location="'MAURY Ambré ou Blanc'!A1" display="Maury Ambré ou Blanc" xr:uid="{EF1714BC-D2B0-46B7-AD6E-24DB0FD916A6}"/>
    <hyperlink ref="O15:R15" location="'Muscat de Riv.'!A1" display="Muscat de Rivesaltes" xr:uid="{43CCF791-0A71-4F33-9549-8441FA70AEDC}"/>
    <hyperlink ref="O16:R16" location="'Rivesaltes Ambré, Rosé ou Tuilé'!A1" display="Rivesaltes Ambé, Rosé ou Tuilé" xr:uid="{B16B9059-1BF4-4CEF-8C1C-8EED33A0F0EE}"/>
    <hyperlink ref="O17:R17" location="'Rivesaltes Grenat'!A1" display="Rivesaltes Grenat" xr:uid="{5005B05A-7DC1-4F90-9803-9267316988B2}"/>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Outil contrôle encépagement</vt:lpstr>
      <vt:lpstr>CR Rouge</vt:lpstr>
      <vt:lpstr>CR Rosé</vt:lpstr>
      <vt:lpstr>CR Blanc</vt:lpstr>
      <vt:lpstr>CR Villages</vt:lpstr>
      <vt:lpstr>CR Villages Les Aspres</vt:lpstr>
      <vt:lpstr>CRV LATOUR DE FRANCE</vt:lpstr>
      <vt:lpstr>CRV CARAMANY</vt:lpstr>
      <vt:lpstr>CRV LESQUERDE</vt:lpstr>
      <vt:lpstr>CRV TAUTAVEL</vt:lpstr>
      <vt:lpstr>MAURY SEC</vt:lpstr>
      <vt:lpstr>MAURY Grenat ou Tuilé</vt:lpstr>
      <vt:lpstr>MAURY Ambré ou Blanc</vt:lpstr>
      <vt:lpstr>Muscat de Riv.</vt:lpstr>
      <vt:lpstr>Rivesaltes Ambré, Rosé ou Tuilé</vt:lpstr>
      <vt:lpstr>Rivesaltes Grenat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Gérard Lopez</dc:creator>
  <cp:lastModifiedBy>Arnaud Le Mouee</cp:lastModifiedBy>
  <cp:lastPrinted>2021-11-04T15:36:55Z</cp:lastPrinted>
  <dcterms:created xsi:type="dcterms:W3CDTF">2017-09-18T15:52:06Z</dcterms:created>
  <dcterms:modified xsi:type="dcterms:W3CDTF">2024-03-08T07:41:52Z</dcterms:modified>
</cp:coreProperties>
</file>